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12090" activeTab="2"/>
  </bookViews>
  <sheets>
    <sheet name="actual vs budget 2 March 2008" sheetId="1" r:id="rId1"/>
    <sheet name="Revised Draft Budget 2009" sheetId="2" r:id="rId2"/>
    <sheet name="Salary Budget 200809" sheetId="3" r:id="rId3"/>
  </sheets>
  <definedNames>
    <definedName name="_xlnm.Print_Area" localSheetId="0">'actual vs budget 2 March 2008'!$A$1:$K$190</definedName>
    <definedName name="_xlnm.Print_Area" localSheetId="2">'Salary Budget 200809'!$A$1:$I$233</definedName>
  </definedNames>
  <calcPr fullCalcOnLoad="1"/>
</workbook>
</file>

<file path=xl/comments1.xml><?xml version="1.0" encoding="utf-8"?>
<comments xmlns="http://schemas.openxmlformats.org/spreadsheetml/2006/main">
  <authors>
    <author>rfortuin</author>
  </authors>
  <commentList>
    <comment ref="D53" authorId="0">
      <text>
        <r>
          <rPr>
            <b/>
            <sz val="8"/>
            <rFont val="Tahoma"/>
            <family val="2"/>
          </rPr>
          <t>Figure includes salaries of EMC - R7,726,068</t>
        </r>
        <r>
          <rPr>
            <sz val="8"/>
            <rFont val="Tahoma"/>
            <family val="2"/>
          </rPr>
          <t xml:space="preserve">
</t>
        </r>
      </text>
    </comment>
    <comment ref="D133" authorId="0">
      <text>
        <r>
          <rPr>
            <sz val="8"/>
            <rFont val="Tahoma"/>
            <family val="2"/>
          </rPr>
          <t>Added the budget of L Thomas as it was not on the spreadsheet</t>
        </r>
        <r>
          <rPr>
            <sz val="8"/>
            <rFont val="Tahoma"/>
            <family val="2"/>
          </rPr>
          <t xml:space="preserve">
</t>
        </r>
      </text>
    </comment>
    <comment ref="D141" authorId="0">
      <text>
        <r>
          <rPr>
            <sz val="8"/>
            <rFont val="Tahoma"/>
            <family val="2"/>
          </rPr>
          <t>Budget transfers:
NCRP in Trad Med - R50,000</t>
        </r>
        <r>
          <rPr>
            <sz val="8"/>
            <rFont val="Tahoma"/>
            <family val="2"/>
          </rPr>
          <t xml:space="preserve">
Stem Cell Grant - R57,000
Internet upgrade - R101,000</t>
        </r>
      </text>
    </comment>
    <comment ref="D165" authorId="0">
      <text>
        <r>
          <rPr>
            <sz val="8"/>
            <rFont val="Tahoma"/>
            <family val="2"/>
          </rPr>
          <t xml:space="preserve">Corporate contribution of performance bonusses
</t>
        </r>
      </text>
    </comment>
    <comment ref="D173" authorId="0">
      <text>
        <r>
          <rPr>
            <sz val="8"/>
            <rFont val="Tahoma"/>
            <family val="2"/>
          </rPr>
          <t>Expense lays with  Exec Dir Finance</t>
        </r>
        <r>
          <rPr>
            <sz val="8"/>
            <rFont val="Tahoma"/>
            <family val="2"/>
          </rPr>
          <t xml:space="preserve">
</t>
        </r>
      </text>
    </comment>
    <comment ref="H21" authorId="0">
      <text>
        <r>
          <rPr>
            <sz val="8"/>
            <rFont val="Tahoma"/>
            <family val="2"/>
          </rPr>
          <t>Operating budget of R250,000 plus R300,000 of Patent Fund loaded here</t>
        </r>
        <r>
          <rPr>
            <sz val="8"/>
            <rFont val="Tahoma"/>
            <family val="2"/>
          </rPr>
          <t xml:space="preserve">
</t>
        </r>
      </text>
    </comment>
    <comment ref="H70" authorId="0">
      <text>
        <r>
          <rPr>
            <sz val="8"/>
            <rFont val="Tahoma"/>
            <family val="2"/>
          </rPr>
          <t>Budget loaded under Contract &amp; Budget Management Office</t>
        </r>
        <r>
          <rPr>
            <sz val="8"/>
            <rFont val="Tahoma"/>
            <family val="2"/>
          </rPr>
          <t xml:space="preserve">
</t>
        </r>
      </text>
    </comment>
    <comment ref="H71" authorId="0">
      <text>
        <r>
          <rPr>
            <sz val="8"/>
            <rFont val="Tahoma"/>
            <family val="2"/>
          </rPr>
          <t>Went to Contract &amp; Budget Management Office</t>
        </r>
        <r>
          <rPr>
            <sz val="8"/>
            <rFont val="Tahoma"/>
            <family val="2"/>
          </rPr>
          <t xml:space="preserve">
</t>
        </r>
      </text>
    </comment>
    <comment ref="H99" authorId="0">
      <text>
        <r>
          <rPr>
            <sz val="8"/>
            <rFont val="Tahoma"/>
            <family val="2"/>
          </rPr>
          <t xml:space="preserve">Operating budget loaded: R809,163
</t>
        </r>
      </text>
    </comment>
    <comment ref="H102" authorId="0">
      <text>
        <r>
          <rPr>
            <sz val="8"/>
            <rFont val="Tahoma"/>
            <family val="2"/>
          </rPr>
          <t xml:space="preserve">Operating budget loaded: R460,845
</t>
        </r>
      </text>
    </comment>
    <comment ref="H105" authorId="0">
      <text>
        <r>
          <rPr>
            <sz val="8"/>
            <rFont val="Tahoma"/>
            <family val="2"/>
          </rPr>
          <t xml:space="preserve">Operating budget loaded: R400,000
</t>
        </r>
      </text>
    </comment>
    <comment ref="H106" authorId="0">
      <text>
        <r>
          <rPr>
            <sz val="8"/>
            <rFont val="Tahoma"/>
            <family val="2"/>
          </rPr>
          <t xml:space="preserve">Operating budget loaded: R1,001,722
</t>
        </r>
      </text>
    </comment>
    <comment ref="H107" authorId="0">
      <text>
        <r>
          <rPr>
            <sz val="8"/>
            <rFont val="Tahoma"/>
            <family val="2"/>
          </rPr>
          <t xml:space="preserve">Operating budget loaded: R525,281
</t>
        </r>
      </text>
    </comment>
    <comment ref="H108" authorId="0">
      <text>
        <r>
          <rPr>
            <sz val="8"/>
            <rFont val="Tahoma"/>
            <family val="2"/>
          </rPr>
          <t xml:space="preserve">Operating budget loaded: R644,131
</t>
        </r>
        <r>
          <rPr>
            <sz val="8"/>
            <rFont val="Tahoma"/>
            <family val="2"/>
          </rPr>
          <t xml:space="preserve">
</t>
        </r>
      </text>
    </comment>
    <comment ref="H109" authorId="0">
      <text>
        <r>
          <rPr>
            <sz val="8"/>
            <rFont val="Tahoma"/>
            <family val="2"/>
          </rPr>
          <t>The R1,470,000 and 
R500,000 went to Operations</t>
        </r>
        <r>
          <rPr>
            <sz val="8"/>
            <rFont val="Tahoma"/>
            <family val="2"/>
          </rPr>
          <t xml:space="preserve">
</t>
        </r>
      </text>
    </comment>
    <comment ref="H113" authorId="0">
      <text>
        <r>
          <rPr>
            <sz val="8"/>
            <rFont val="Tahoma"/>
            <family val="2"/>
          </rPr>
          <t xml:space="preserve">Operating budget loaded: R561,561
</t>
        </r>
      </text>
    </comment>
    <comment ref="H115" authorId="0">
      <text>
        <r>
          <rPr>
            <sz val="8"/>
            <rFont val="Tahoma"/>
            <family val="2"/>
          </rPr>
          <t xml:space="preserve">Operating budget loaded: R847,002
</t>
        </r>
      </text>
    </comment>
    <comment ref="H116" authorId="0">
      <text>
        <r>
          <rPr>
            <sz val="8"/>
            <rFont val="Tahoma"/>
            <family val="2"/>
          </rPr>
          <t xml:space="preserve">Operating budget loaded: R404,416
</t>
        </r>
      </text>
    </comment>
    <comment ref="H117" authorId="0">
      <text>
        <r>
          <rPr>
            <sz val="8"/>
            <rFont val="Tahoma"/>
            <family val="2"/>
          </rPr>
          <t xml:space="preserve">Operating budget loaded: R207,891
</t>
        </r>
      </text>
    </comment>
    <comment ref="H124" authorId="0">
      <text>
        <r>
          <rPr>
            <sz val="8"/>
            <rFont val="Tahoma"/>
            <family val="2"/>
          </rPr>
          <t>This went to the Inf &amp; Knowledge Man: Exec Dir's budget together with the R300,000 Patent fund budget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<sst xmlns="http://schemas.openxmlformats.org/spreadsheetml/2006/main" count="435" uniqueCount="289">
  <si>
    <t>Medical Research Council</t>
  </si>
  <si>
    <t xml:space="preserve"> 2007/2008 </t>
  </si>
  <si>
    <t>DETAILS</t>
  </si>
  <si>
    <t>EXPENDITURES</t>
  </si>
  <si>
    <t>ALLOCATED</t>
  </si>
  <si>
    <t>31Dec'02</t>
  </si>
  <si>
    <t>%
Spent</t>
  </si>
  <si>
    <t>Salaries</t>
  </si>
  <si>
    <t>Operating</t>
  </si>
  <si>
    <t>TOTAL</t>
  </si>
  <si>
    <t>Actual till 6th March 2008</t>
  </si>
  <si>
    <t>%</t>
  </si>
  <si>
    <t xml:space="preserve"> -R- </t>
  </si>
  <si>
    <t>PROFESSIONAL  SUPPORT DIRECTORATES</t>
  </si>
  <si>
    <t>Executive Research Directorate:</t>
  </si>
  <si>
    <t>Vice-President : Research and Secretary</t>
  </si>
  <si>
    <t>Exec Man Strategic Research Initiative's salary</t>
  </si>
  <si>
    <t>Executive Manager - Capacity Development</t>
  </si>
  <si>
    <t>Executive Manager- Research Admin</t>
  </si>
  <si>
    <t>Research Management</t>
  </si>
  <si>
    <t>Research Administration</t>
  </si>
  <si>
    <t>Information Services</t>
  </si>
  <si>
    <t xml:space="preserve"> - Fixed/Statutory/Licence Costs</t>
  </si>
  <si>
    <t>Technology &amp; Innovation Directorate:</t>
  </si>
  <si>
    <t>Executive Director and PA salaries</t>
  </si>
  <si>
    <t>MRC Innovation Centre</t>
  </si>
  <si>
    <t>Patent Fund</t>
  </si>
  <si>
    <t>Telemedicine Research</t>
  </si>
  <si>
    <t>Diabetes Research and Discovery Platform</t>
  </si>
  <si>
    <t xml:space="preserve">    Primate Unit</t>
  </si>
  <si>
    <t>Information and Technology Services Directorate</t>
  </si>
  <si>
    <t>Executive Manager and PA Salaries</t>
  </si>
  <si>
    <t>IT Services (Excludes KZN Region)</t>
  </si>
  <si>
    <t>IT Services (KZN Region)</t>
  </si>
  <si>
    <t>Corporate and Public Affairs Directorate</t>
  </si>
  <si>
    <t>Executive Manager' salary</t>
  </si>
  <si>
    <t>General - Including Annual Report</t>
  </si>
  <si>
    <t>Corporate Conference Budget</t>
  </si>
  <si>
    <t>Research Translation &amp; Implementation Initiative</t>
  </si>
  <si>
    <t>Office of International Affairs</t>
  </si>
  <si>
    <t>Management Info &amp; Knowledge Systems</t>
  </si>
  <si>
    <t>Office of the President</t>
  </si>
  <si>
    <t>President's salary</t>
  </si>
  <si>
    <t>Board &amp; -Committees</t>
  </si>
  <si>
    <t>Legal services</t>
  </si>
  <si>
    <t>MRC Year-end function</t>
  </si>
  <si>
    <t>Finance and Contracts</t>
  </si>
  <si>
    <t>Executive Director-Finance and PA salaries</t>
  </si>
  <si>
    <t>Internal Audit Fees</t>
  </si>
  <si>
    <t>Fraud Prevention/"Whistle Blowing"</t>
  </si>
  <si>
    <t>Risk Management</t>
  </si>
  <si>
    <t>Actuarial Costs</t>
  </si>
  <si>
    <t>Business Disaster Recovery Plan</t>
  </si>
  <si>
    <t>She audits and risk assessments</t>
  </si>
  <si>
    <t>Finance</t>
  </si>
  <si>
    <t>Finance: JDE Licence &amp; Statutory Costs</t>
  </si>
  <si>
    <t>Contracts &amp; Budget Management</t>
  </si>
  <si>
    <t>NIH Requirements-Proj Office, Storage fac.</t>
  </si>
  <si>
    <t>NIH Audit</t>
  </si>
  <si>
    <t>Operations and Facilities</t>
  </si>
  <si>
    <t>Executive Director -Operations and PA salaries</t>
  </si>
  <si>
    <t>Operations</t>
  </si>
  <si>
    <t>Operations: Statutory &amp; Fix</t>
  </si>
  <si>
    <t>Human Resources:</t>
  </si>
  <si>
    <t>Executive Manager's salary</t>
  </si>
  <si>
    <t>General</t>
  </si>
  <si>
    <t>HIV Programme/Employee Wellness</t>
  </si>
  <si>
    <t>Skills Levy/Workmanship Comp</t>
  </si>
  <si>
    <t>Pretoria Regional Office</t>
  </si>
  <si>
    <t>Administration</t>
  </si>
  <si>
    <t>Office Renovations</t>
  </si>
  <si>
    <t>Durban Regional Office:</t>
  </si>
  <si>
    <t>Regional Director- working capital</t>
  </si>
  <si>
    <t>SUBTOTAL : PROFESSIONAL SUPPORT</t>
  </si>
  <si>
    <t>RESEARCH RELATED BUDGETS:</t>
  </si>
  <si>
    <t>MRC Centres, Groups &amp; Units</t>
  </si>
  <si>
    <t>18 Intramural Units and NCRP's</t>
  </si>
  <si>
    <t>Environment &amp; Health</t>
  </si>
  <si>
    <t>Alcohol &amp; Drug Abuse</t>
  </si>
  <si>
    <t>Health Promotion &amp; Behavioural Science</t>
  </si>
  <si>
    <t>Crime, Violence &amp; Injury NCRP</t>
  </si>
  <si>
    <t>Clinical &amp; Biomedical TB Research</t>
  </si>
  <si>
    <t>TB Epidemiology &amp; Intervention</t>
  </si>
  <si>
    <t>Malaria NCRP</t>
  </si>
  <si>
    <t>Nutritional Intervention</t>
  </si>
  <si>
    <t>HIV Prevention</t>
  </si>
  <si>
    <t>Operations: Rental Dbn building Westville</t>
  </si>
  <si>
    <t>HIV Prevention - other rental commitments</t>
  </si>
  <si>
    <t>Burden of Disease</t>
  </si>
  <si>
    <t>Chronic Diseases of Lifestyle</t>
  </si>
  <si>
    <t>Health Systems Research</t>
  </si>
  <si>
    <t>Biostatistics</t>
  </si>
  <si>
    <t>Gender &amp; Health Research</t>
  </si>
  <si>
    <t>Diabetes Research: A Madiehe</t>
  </si>
  <si>
    <t>Diabetes Research: A Lochner</t>
  </si>
  <si>
    <t>PROMEC</t>
  </si>
  <si>
    <t>Cochrane Centre</t>
  </si>
  <si>
    <t>HIV and AIDS NCRP</t>
  </si>
  <si>
    <t>Indigenous Knowledge Systems</t>
  </si>
  <si>
    <t>e-Health and Telemedicine:</t>
  </si>
  <si>
    <t>Bioinformatics Research</t>
  </si>
  <si>
    <t>Biomedical Informatics Research</t>
  </si>
  <si>
    <t>Web &amp; Media Technologies</t>
  </si>
  <si>
    <t>Health Informatics</t>
  </si>
  <si>
    <t>Capital Equipment</t>
  </si>
  <si>
    <t>Increment in operating funds 7%</t>
  </si>
  <si>
    <t>Sub-Total</t>
  </si>
  <si>
    <t>25 Extramural Units and NCRP's</t>
  </si>
  <si>
    <t>L Thomas</t>
  </si>
  <si>
    <t>Operating and slaries plus 7%</t>
  </si>
  <si>
    <t>New CANSA Research Unit</t>
  </si>
  <si>
    <t>Assistantship posts plus 7%</t>
  </si>
  <si>
    <t>Capital</t>
  </si>
  <si>
    <t>Increases to be allocated</t>
  </si>
  <si>
    <t>3 National Collaborative Res Programmes</t>
  </si>
  <si>
    <t>Other Research Related Activities:</t>
  </si>
  <si>
    <t xml:space="preserve">    Research Development and PA </t>
  </si>
  <si>
    <t>CapDev/ResTrainPosts/AgencyFunding</t>
  </si>
  <si>
    <t>Career Development Awards</t>
  </si>
  <si>
    <t>Research Training Interns</t>
  </si>
  <si>
    <t>Development Grants: New Groups/Units</t>
  </si>
  <si>
    <t xml:space="preserve"> - Racial Health Disparities Research</t>
  </si>
  <si>
    <t xml:space="preserve"> - Ethics Research</t>
  </si>
  <si>
    <t>Self Initiated Research Grants:</t>
  </si>
  <si>
    <t>Shortterm Researchers</t>
  </si>
  <si>
    <t>SUB-TOTAL: RESEARCH RELATED</t>
  </si>
  <si>
    <t>SUPPORT AND RESEARCH PROVISIONS</t>
  </si>
  <si>
    <t>Small Building Alterations</t>
  </si>
  <si>
    <t>Leave provision</t>
  </si>
  <si>
    <t xml:space="preserve">Salary Adjustments  </t>
  </si>
  <si>
    <t>Assistantship Posts Increases</t>
  </si>
  <si>
    <t>Performance Bonuses</t>
  </si>
  <si>
    <t>Promotions</t>
  </si>
  <si>
    <t>Accelerated Development</t>
  </si>
  <si>
    <t>Contract Salaries for Corporate Support</t>
  </si>
  <si>
    <t>Maternity Leave</t>
  </si>
  <si>
    <t>Cellphone allowance</t>
  </si>
  <si>
    <t>Post Retirement Medical Aid Fund</t>
  </si>
  <si>
    <t>Post retirement - relating to current increases</t>
  </si>
  <si>
    <t>Post retirement top up relating to past years</t>
  </si>
  <si>
    <t>SUB-TOTAL</t>
  </si>
  <si>
    <t>DELFT ALLOCATION</t>
  </si>
  <si>
    <t>Income</t>
  </si>
  <si>
    <t>Baseline Allocation (excl SAAVI ring-fence &amp; Delft Alloc.)</t>
  </si>
  <si>
    <t>Delft Centre - Sales/Services</t>
  </si>
  <si>
    <t>Investment Income/Interest</t>
  </si>
  <si>
    <t>Skill levy recovered</t>
  </si>
  <si>
    <t>Sundry Income</t>
  </si>
  <si>
    <t>Overhead Recovery from contracts</t>
  </si>
  <si>
    <t>Total Income</t>
  </si>
  <si>
    <t>Nett Surplus/(Shortfall)</t>
  </si>
  <si>
    <t>11.2 months budget estimate</t>
  </si>
  <si>
    <t>2007/2008 Actual vs Budget</t>
  </si>
  <si>
    <t>A</t>
  </si>
  <si>
    <t>B</t>
  </si>
  <si>
    <t>C</t>
  </si>
  <si>
    <t>D</t>
  </si>
  <si>
    <t>A=</t>
  </si>
  <si>
    <t>608,311</t>
  </si>
  <si>
    <t>Performance Management System</t>
  </si>
  <si>
    <t>E</t>
  </si>
  <si>
    <t>HIV Prevention &amp; HIV and AIDS NCRP</t>
  </si>
  <si>
    <t>Telemedicine Research and E-health</t>
  </si>
  <si>
    <t>Cleaning, mantainance, buildings, etc.</t>
  </si>
  <si>
    <t xml:space="preserve"> - Licence Costs and other.</t>
  </si>
  <si>
    <t>E-HRIP - Director</t>
  </si>
  <si>
    <t>CARISA</t>
  </si>
  <si>
    <t>2009/2010 Budget</t>
  </si>
  <si>
    <t>2009/2010</t>
  </si>
  <si>
    <t>v</t>
  </si>
  <si>
    <t>Branding, marketing and stakeholderer strategy</t>
  </si>
  <si>
    <t>Oncology Research Unit</t>
  </si>
  <si>
    <t xml:space="preserve">Baseline Allocation </t>
  </si>
  <si>
    <t>SA Food Composition System</t>
  </si>
  <si>
    <t xml:space="preserve">Senior Manager : Research </t>
  </si>
  <si>
    <t>2008/2009</t>
  </si>
  <si>
    <t xml:space="preserve">Occupational &amp; Environmental Health </t>
  </si>
  <si>
    <t xml:space="preserve">Exercise Science &amp; Sports Medicine </t>
  </si>
  <si>
    <t xml:space="preserve">Health Policy </t>
  </si>
  <si>
    <t xml:space="preserve">Rural Public Health &amp; Health Transition </t>
  </si>
  <si>
    <t xml:space="preserve">Respiratory &amp; Meningeal Pathogens </t>
  </si>
  <si>
    <t xml:space="preserve">Immunology of Infectious Diseases </t>
  </si>
  <si>
    <t xml:space="preserve">Inflammation &amp; Immunity </t>
  </si>
  <si>
    <t xml:space="preserve">Genital Ulcer </t>
  </si>
  <si>
    <t xml:space="preserve">Diarrhoeal Pathogens </t>
  </si>
  <si>
    <t xml:space="preserve">Bone Research </t>
  </si>
  <si>
    <t xml:space="preserve">Human Genomic Diversity &amp; Disease </t>
  </si>
  <si>
    <t xml:space="preserve">Molecular Hepatology </t>
  </si>
  <si>
    <t xml:space="preserve">Molecular &amp; Cellular Biology </t>
  </si>
  <si>
    <t xml:space="preserve">Bioinformatics Capacity Development </t>
  </si>
  <si>
    <t xml:space="preserve">Liver Research </t>
  </si>
  <si>
    <t xml:space="preserve">Human Genetics </t>
  </si>
  <si>
    <t xml:space="preserve">Receptor Biology </t>
  </si>
  <si>
    <t xml:space="preserve">Molecular Mycobacterial </t>
  </si>
  <si>
    <t xml:space="preserve">Human Ecogenetics </t>
  </si>
  <si>
    <t xml:space="preserve">Dental Research </t>
  </si>
  <si>
    <t xml:space="preserve">Anxiety &amp; Stress Disorders </t>
  </si>
  <si>
    <t xml:space="preserve">Medical Imaging </t>
  </si>
  <si>
    <t xml:space="preserve">Cancer Epidemiology </t>
  </si>
  <si>
    <t xml:space="preserve">Inter-University Cape Heart </t>
  </si>
  <si>
    <t>Mineral Metabolism</t>
  </si>
  <si>
    <t>Perinatal Mortality</t>
  </si>
  <si>
    <t xml:space="preserve">Maternal &amp; Infant Health Care Strategies </t>
  </si>
  <si>
    <t xml:space="preserve">Pregnancy Hypertension </t>
  </si>
  <si>
    <t xml:space="preserve">Human Nutrition </t>
  </si>
  <si>
    <t>Manager - Research Admin</t>
  </si>
  <si>
    <t>L Thomas/extended research work</t>
  </si>
  <si>
    <t>L Thomas - rental</t>
  </si>
  <si>
    <t>Racial Health Disparities Research</t>
  </si>
  <si>
    <t>Ethics Research</t>
  </si>
  <si>
    <t>University of the Western Cape</t>
  </si>
  <si>
    <t>University of Cape Town</t>
  </si>
  <si>
    <t>Traditional Medicines:</t>
  </si>
  <si>
    <t xml:space="preserve">Oesophageal Cancer: </t>
  </si>
  <si>
    <t>University of Stellenbosch</t>
  </si>
  <si>
    <t>Cape Heart Sub Programme</t>
  </si>
  <si>
    <t>CUBBI</t>
  </si>
  <si>
    <t>JDE Licence</t>
  </si>
  <si>
    <t>Bank Charges &amp; FNB Internet Charges</t>
  </si>
  <si>
    <t>External Audit - Office of the Auditor-General</t>
  </si>
  <si>
    <t>JDE Consultant Costs-on going mantainance costs</t>
  </si>
  <si>
    <t>Research Integrity Office</t>
  </si>
  <si>
    <t>Insurance</t>
  </si>
  <si>
    <t>PA salary</t>
  </si>
  <si>
    <t>Operations Admin.</t>
  </si>
  <si>
    <t>HR Recruitment</t>
  </si>
  <si>
    <t>Payroll</t>
  </si>
  <si>
    <t>HR Services / Policies</t>
  </si>
  <si>
    <t>HR Development</t>
  </si>
  <si>
    <t>HR System licence / Consulting</t>
  </si>
  <si>
    <t>MRC Study Support</t>
  </si>
  <si>
    <t>AFS pension fund</t>
  </si>
  <si>
    <t>Contracts &amp; Budget Management Office Admin</t>
  </si>
  <si>
    <t>Risk Management - assessments and other</t>
  </si>
  <si>
    <t>"Whistle Blowing"- subscription and related costs</t>
  </si>
  <si>
    <t>Finance Division Admin</t>
  </si>
  <si>
    <t>Security</t>
  </si>
  <si>
    <t xml:space="preserve">Electricity (all campuses) </t>
  </si>
  <si>
    <t xml:space="preserve">Water and rates (all campuses) </t>
  </si>
  <si>
    <t>N1</t>
  </si>
  <si>
    <t>N2</t>
  </si>
  <si>
    <t>N3</t>
  </si>
  <si>
    <t>N4</t>
  </si>
  <si>
    <t>N5</t>
  </si>
  <si>
    <t>N6</t>
  </si>
  <si>
    <t xml:space="preserve">Accelerated Development (Scientists) </t>
  </si>
  <si>
    <t>Salary adjustments to match the market</t>
  </si>
  <si>
    <t>intergrity.  Part of MRC's overall ethical framework.</t>
  </si>
  <si>
    <r>
      <t>N1</t>
    </r>
    <r>
      <rPr>
        <sz val="8"/>
        <rFont val="Arial"/>
        <family val="2"/>
      </rPr>
      <t>= Running expensure in running the office for Research</t>
    </r>
  </si>
  <si>
    <t>branding MRC.  A stakeholder strategy session has already</t>
  </si>
  <si>
    <t>happened.</t>
  </si>
  <si>
    <r>
      <t>N2</t>
    </r>
    <r>
      <rPr>
        <sz val="8"/>
        <rFont val="Arial"/>
        <family val="2"/>
      </rPr>
      <t xml:space="preserve">: Increase due largely to amount set aside for </t>
    </r>
  </si>
  <si>
    <t>will be paid an extra day for preparation.</t>
  </si>
  <si>
    <r>
      <t>N3:</t>
    </r>
    <r>
      <rPr>
        <sz val="8"/>
        <rFont val="Arial"/>
        <family val="2"/>
      </rPr>
      <t xml:space="preserve"> increase due largely to the fact that the Board members</t>
    </r>
  </si>
  <si>
    <t>which have gone up.</t>
  </si>
  <si>
    <r>
      <t>N4</t>
    </r>
    <r>
      <rPr>
        <sz val="8"/>
        <rFont val="Arial"/>
        <family val="2"/>
      </rPr>
      <t>: expenditure has gone up largerly to do Ags fees</t>
    </r>
  </si>
  <si>
    <r>
      <t>N5</t>
    </r>
    <r>
      <rPr>
        <sz val="8"/>
        <rFont val="Arial"/>
        <family val="2"/>
      </rPr>
      <t>: A new position was created in the area of peformance</t>
    </r>
  </si>
  <si>
    <t xml:space="preserve">management.  Also, with the new HR system the </t>
  </si>
  <si>
    <t>licence costs more, and there will be consultations</t>
  </si>
  <si>
    <t>from time to time.</t>
  </si>
  <si>
    <r>
      <t>N6</t>
    </r>
    <r>
      <rPr>
        <sz val="8"/>
        <rFont val="Arial"/>
        <family val="2"/>
      </rPr>
      <t>: An increase of 7% has been budgeted for.  We have not</t>
    </r>
  </si>
  <si>
    <t>budgeted for capital and MRC will run a process to distribute</t>
  </si>
  <si>
    <t>R15m towards capital in both intra and extra mural units.</t>
  </si>
  <si>
    <t>Executive Director's salary</t>
  </si>
  <si>
    <t>Vice-President : Research's salary</t>
  </si>
  <si>
    <t>NIH Audit - annual audits</t>
  </si>
  <si>
    <t>General notes</t>
  </si>
  <si>
    <t>Of the R260m, R161m(62%) goes towards salaries and</t>
  </si>
  <si>
    <t>related expenditure.</t>
  </si>
  <si>
    <t>Payments to our research collaborators is 18% of the</t>
  </si>
  <si>
    <t>budget (r48m/260m), exluding salaries of R18m</t>
  </si>
  <si>
    <t xml:space="preserve">IT licences take (including Finance and HR) take </t>
  </si>
  <si>
    <t>about R6m.</t>
  </si>
  <si>
    <t>R2,69m is paid towards rentals.</t>
  </si>
  <si>
    <t>Insurance, water and elec take another R8m.</t>
  </si>
  <si>
    <t>N7</t>
  </si>
  <si>
    <t>N7: R4,5m is permanent cash flow released since MRC</t>
  </si>
  <si>
    <t>no longer has vat obligations arising from the past.</t>
  </si>
  <si>
    <t>In nominal terms, DOH budget has increased by R19m, which</t>
  </si>
  <si>
    <t>translates to about 10%.</t>
  </si>
  <si>
    <t xml:space="preserve">The remainder of the budget (r98m - r65m) will be </t>
  </si>
  <si>
    <t>split between other expenditure, and the budget line</t>
  </si>
  <si>
    <t xml:space="preserve">items will only be constructed when the system is </t>
  </si>
  <si>
    <t>completely configured.</t>
  </si>
  <si>
    <t>7% of last year</t>
  </si>
  <si>
    <t>MRC Forty year celebration</t>
  </si>
  <si>
    <t>Universities of Technology Research Fund</t>
  </si>
  <si>
    <t xml:space="preserve">Salary increases </t>
  </si>
  <si>
    <t>MRC Forty year celebation for employees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</si>
</sst>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mmmm\ d\,\ yyyy"/>
    <numFmt numFmtId="173" formatCode="#,##0;\(#,##0\)"/>
    <numFmt numFmtId="174" formatCode="&quot;R&quot;\ #,##0.00;&quot;R&quot;\-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b/>
      <sz val="8"/>
      <name val="Arial Black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5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9" fillId="34" borderId="27" xfId="0" applyNumberFormat="1" applyFont="1" applyFill="1" applyBorder="1" applyAlignment="1">
      <alignment horizontal="right"/>
    </xf>
    <xf numFmtId="3" fontId="9" fillId="34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10" fillId="35" borderId="21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 horizontal="left" indent="1"/>
    </xf>
    <xf numFmtId="3" fontId="12" fillId="0" borderId="33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36" borderId="35" xfId="0" applyNumberFormat="1" applyFont="1" applyFill="1" applyBorder="1" applyAlignment="1">
      <alignment horizontal="right"/>
    </xf>
    <xf numFmtId="9" fontId="7" fillId="0" borderId="0" xfId="59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37" xfId="0" applyFont="1" applyBorder="1" applyAlignment="1">
      <alignment horizontal="left" indent="2"/>
    </xf>
    <xf numFmtId="3" fontId="9" fillId="34" borderId="38" xfId="0" applyNumberFormat="1" applyFont="1" applyFill="1" applyBorder="1" applyAlignment="1">
      <alignment horizontal="right"/>
    </xf>
    <xf numFmtId="3" fontId="9" fillId="34" borderId="38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3" fontId="1" fillId="36" borderId="25" xfId="0" applyNumberFormat="1" applyFont="1" applyFill="1" applyBorder="1" applyAlignment="1">
      <alignment/>
    </xf>
    <xf numFmtId="0" fontId="1" fillId="0" borderId="21" xfId="0" applyFont="1" applyBorder="1" applyAlignment="1">
      <alignment horizontal="left" indent="2"/>
    </xf>
    <xf numFmtId="3" fontId="9" fillId="34" borderId="39" xfId="0" applyNumberFormat="1" applyFont="1" applyFill="1" applyBorder="1" applyAlignment="1">
      <alignment horizontal="right"/>
    </xf>
    <xf numFmtId="3" fontId="9" fillId="34" borderId="39" xfId="0" applyNumberFormat="1" applyFont="1" applyFill="1" applyBorder="1" applyAlignment="1">
      <alignment horizontal="center"/>
    </xf>
    <xf numFmtId="3" fontId="1" fillId="36" borderId="40" xfId="0" applyNumberFormat="1" applyFont="1" applyFill="1" applyBorder="1" applyAlignment="1">
      <alignment/>
    </xf>
    <xf numFmtId="3" fontId="1" fillId="36" borderId="40" xfId="0" applyNumberFormat="1" applyFont="1" applyFill="1" applyBorder="1" applyAlignment="1">
      <alignment/>
    </xf>
    <xf numFmtId="0" fontId="1" fillId="0" borderId="21" xfId="0" applyFont="1" applyBorder="1" applyAlignment="1">
      <alignment horizontal="left" indent="2"/>
    </xf>
    <xf numFmtId="3" fontId="15" fillId="34" borderId="27" xfId="0" applyNumberFormat="1" applyFont="1" applyFill="1" applyBorder="1" applyAlignment="1">
      <alignment horizontal="right"/>
    </xf>
    <xf numFmtId="3" fontId="15" fillId="34" borderId="28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left" indent="2"/>
    </xf>
    <xf numFmtId="3" fontId="15" fillId="34" borderId="42" xfId="0" applyNumberFormat="1" applyFont="1" applyFill="1" applyBorder="1" applyAlignment="1">
      <alignment horizontal="right"/>
    </xf>
    <xf numFmtId="3" fontId="15" fillId="34" borderId="43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 horizontal="right"/>
    </xf>
    <xf numFmtId="3" fontId="9" fillId="34" borderId="29" xfId="0" applyNumberFormat="1" applyFont="1" applyFill="1" applyBorder="1" applyAlignment="1">
      <alignment horizontal="right"/>
    </xf>
    <xf numFmtId="3" fontId="9" fillId="34" borderId="31" xfId="0" applyNumberFormat="1" applyFont="1" applyFill="1" applyBorder="1" applyAlignment="1">
      <alignment horizontal="center"/>
    </xf>
    <xf numFmtId="3" fontId="1" fillId="36" borderId="25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left" indent="3"/>
    </xf>
    <xf numFmtId="3" fontId="9" fillId="34" borderId="34" xfId="0" applyNumberFormat="1" applyFont="1" applyFill="1" applyBorder="1" applyAlignment="1">
      <alignment horizontal="right"/>
    </xf>
    <xf numFmtId="3" fontId="9" fillId="34" borderId="36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48" xfId="0" applyFont="1" applyBorder="1" applyAlignment="1">
      <alignment horizontal="left" indent="2"/>
    </xf>
    <xf numFmtId="3" fontId="15" fillId="34" borderId="49" xfId="0" applyNumberFormat="1" applyFont="1" applyFill="1" applyBorder="1" applyAlignment="1">
      <alignment horizontal="right"/>
    </xf>
    <xf numFmtId="3" fontId="15" fillId="34" borderId="47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0" fontId="12" fillId="0" borderId="41" xfId="0" applyFont="1" applyBorder="1" applyAlignment="1">
      <alignment horizontal="left" indent="1"/>
    </xf>
    <xf numFmtId="3" fontId="12" fillId="0" borderId="44" xfId="0" applyNumberFormat="1" applyFont="1" applyBorder="1" applyAlignment="1">
      <alignment horizontal="right"/>
    </xf>
    <xf numFmtId="3" fontId="12" fillId="0" borderId="44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0" fontId="1" fillId="0" borderId="37" xfId="0" applyFont="1" applyBorder="1" applyAlignment="1">
      <alignment horizontal="left" indent="2"/>
    </xf>
    <xf numFmtId="3" fontId="9" fillId="34" borderId="24" xfId="0" applyNumberFormat="1" applyFont="1" applyFill="1" applyBorder="1" applyAlignment="1">
      <alignment horizontal="right"/>
    </xf>
    <xf numFmtId="3" fontId="9" fillId="34" borderId="26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3" fontId="9" fillId="0" borderId="29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center"/>
    </xf>
    <xf numFmtId="3" fontId="1" fillId="36" borderId="14" xfId="0" applyNumberFormat="1" applyFont="1" applyFill="1" applyBorder="1" applyAlignment="1">
      <alignment/>
    </xf>
    <xf numFmtId="0" fontId="1" fillId="0" borderId="41" xfId="0" applyFont="1" applyBorder="1" applyAlignment="1">
      <alignment horizontal="left" indent="1"/>
    </xf>
    <xf numFmtId="3" fontId="9" fillId="34" borderId="44" xfId="0" applyNumberFormat="1" applyFont="1" applyFill="1" applyBorder="1" applyAlignment="1">
      <alignment horizontal="right"/>
    </xf>
    <xf numFmtId="3" fontId="9" fillId="34" borderId="46" xfId="0" applyNumberFormat="1" applyFont="1" applyFill="1" applyBorder="1" applyAlignment="1">
      <alignment horizontal="center"/>
    </xf>
    <xf numFmtId="3" fontId="1" fillId="36" borderId="45" xfId="0" applyNumberFormat="1" applyFont="1" applyFill="1" applyBorder="1" applyAlignment="1">
      <alignment/>
    </xf>
    <xf numFmtId="0" fontId="1" fillId="0" borderId="51" xfId="0" applyFont="1" applyBorder="1" applyAlignment="1">
      <alignment horizontal="left" indent="2"/>
    </xf>
    <xf numFmtId="3" fontId="9" fillId="34" borderId="52" xfId="0" applyNumberFormat="1" applyFont="1" applyFill="1" applyBorder="1" applyAlignment="1">
      <alignment horizontal="right"/>
    </xf>
    <xf numFmtId="3" fontId="9" fillId="34" borderId="53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right"/>
    </xf>
    <xf numFmtId="3" fontId="1" fillId="0" borderId="54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15" fillId="34" borderId="44" xfId="0" applyNumberFormat="1" applyFont="1" applyFill="1" applyBorder="1" applyAlignment="1">
      <alignment horizontal="right"/>
    </xf>
    <xf numFmtId="3" fontId="15" fillId="34" borderId="46" xfId="0" applyNumberFormat="1" applyFont="1" applyFill="1" applyBorder="1" applyAlignment="1">
      <alignment horizontal="center"/>
    </xf>
    <xf numFmtId="3" fontId="12" fillId="36" borderId="45" xfId="0" applyNumberFormat="1" applyFont="1" applyFill="1" applyBorder="1" applyAlignment="1">
      <alignment/>
    </xf>
    <xf numFmtId="3" fontId="12" fillId="0" borderId="56" xfId="0" applyNumberFormat="1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1" fillId="0" borderId="57" xfId="0" applyFont="1" applyFill="1" applyBorder="1" applyAlignment="1">
      <alignment/>
    </xf>
    <xf numFmtId="0" fontId="1" fillId="0" borderId="32" xfId="0" applyFont="1" applyBorder="1" applyAlignment="1">
      <alignment horizontal="left" indent="2"/>
    </xf>
    <xf numFmtId="0" fontId="1" fillId="0" borderId="21" xfId="0" applyFont="1" applyBorder="1" applyAlignment="1">
      <alignment horizontal="left" indent="3"/>
    </xf>
    <xf numFmtId="3" fontId="12" fillId="0" borderId="40" xfId="0" applyNumberFormat="1" applyFont="1" applyFill="1" applyBorder="1" applyAlignment="1">
      <alignment horizontal="right"/>
    </xf>
    <xf numFmtId="3" fontId="1" fillId="36" borderId="58" xfId="0" applyNumberFormat="1" applyFont="1" applyFill="1" applyBorder="1" applyAlignment="1">
      <alignment/>
    </xf>
    <xf numFmtId="3" fontId="12" fillId="0" borderId="59" xfId="0" applyNumberFormat="1" applyFont="1" applyFill="1" applyBorder="1" applyAlignment="1">
      <alignment horizontal="right"/>
    </xf>
    <xf numFmtId="0" fontId="1" fillId="36" borderId="6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1" fillId="36" borderId="23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15" fillId="34" borderId="34" xfId="0" applyNumberFormat="1" applyFont="1" applyFill="1" applyBorder="1" applyAlignment="1">
      <alignment horizontal="right"/>
    </xf>
    <xf numFmtId="3" fontId="15" fillId="34" borderId="36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32" xfId="0" applyFont="1" applyBorder="1" applyAlignment="1">
      <alignment horizontal="left" indent="2"/>
    </xf>
    <xf numFmtId="0" fontId="1" fillId="0" borderId="41" xfId="0" applyFont="1" applyBorder="1" applyAlignment="1">
      <alignment horizontal="left" indent="2"/>
    </xf>
    <xf numFmtId="0" fontId="1" fillId="0" borderId="57" xfId="0" applyFont="1" applyBorder="1" applyAlignment="1">
      <alignment/>
    </xf>
    <xf numFmtId="0" fontId="1" fillId="0" borderId="48" xfId="0" applyFont="1" applyBorder="1" applyAlignment="1">
      <alignment horizontal="left" indent="2"/>
    </xf>
    <xf numFmtId="3" fontId="9" fillId="34" borderId="49" xfId="0" applyNumberFormat="1" applyFont="1" applyFill="1" applyBorder="1" applyAlignment="1">
      <alignment horizontal="right"/>
    </xf>
    <xf numFmtId="3" fontId="9" fillId="34" borderId="47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/>
    </xf>
    <xf numFmtId="3" fontId="1" fillId="36" borderId="6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9" fillId="34" borderId="22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9" fillId="34" borderId="42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 horizontal="right"/>
    </xf>
    <xf numFmtId="3" fontId="9" fillId="34" borderId="33" xfId="0" applyNumberFormat="1" applyFont="1" applyFill="1" applyBorder="1" applyAlignment="1">
      <alignment horizontal="right"/>
    </xf>
    <xf numFmtId="0" fontId="1" fillId="0" borderId="62" xfId="0" applyFont="1" applyFill="1" applyBorder="1" applyAlignment="1">
      <alignment horizontal="left" indent="2"/>
    </xf>
    <xf numFmtId="0" fontId="1" fillId="0" borderId="3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62" xfId="0" applyFont="1" applyBorder="1" applyAlignment="1">
      <alignment horizontal="left" indent="2"/>
    </xf>
    <xf numFmtId="3" fontId="1" fillId="0" borderId="30" xfId="0" applyNumberFormat="1" applyFont="1" applyFill="1" applyBorder="1" applyAlignment="1">
      <alignment horizontal="right"/>
    </xf>
    <xf numFmtId="3" fontId="1" fillId="36" borderId="4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3" fontId="12" fillId="0" borderId="53" xfId="0" applyNumberFormat="1" applyFont="1" applyFill="1" applyBorder="1" applyAlignment="1">
      <alignment horizontal="right"/>
    </xf>
    <xf numFmtId="0" fontId="12" fillId="0" borderId="48" xfId="0" applyFont="1" applyBorder="1" applyAlignment="1">
      <alignment horizontal="left" indent="2"/>
    </xf>
    <xf numFmtId="3" fontId="12" fillId="0" borderId="49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 horizontal="right"/>
    </xf>
    <xf numFmtId="3" fontId="9" fillId="34" borderId="64" xfId="0" applyNumberFormat="1" applyFont="1" applyFill="1" applyBorder="1" applyAlignment="1">
      <alignment horizontal="right"/>
    </xf>
    <xf numFmtId="3" fontId="15" fillId="34" borderId="24" xfId="0" applyNumberFormat="1" applyFont="1" applyFill="1" applyBorder="1" applyAlignment="1">
      <alignment horizontal="right"/>
    </xf>
    <xf numFmtId="3" fontId="15" fillId="34" borderId="2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65" xfId="0" applyFont="1" applyBorder="1" applyAlignment="1">
      <alignment horizontal="left" indent="2"/>
    </xf>
    <xf numFmtId="3" fontId="15" fillId="34" borderId="63" xfId="0" applyNumberFormat="1" applyFont="1" applyFill="1" applyBorder="1" applyAlignment="1">
      <alignment horizontal="right"/>
    </xf>
    <xf numFmtId="3" fontId="15" fillId="34" borderId="66" xfId="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/>
    </xf>
    <xf numFmtId="3" fontId="1" fillId="36" borderId="67" xfId="0" applyNumberFormat="1" applyFont="1" applyFill="1" applyBorder="1" applyAlignment="1">
      <alignment/>
    </xf>
    <xf numFmtId="0" fontId="7" fillId="0" borderId="51" xfId="0" applyFont="1" applyBorder="1" applyAlignment="1">
      <alignment horizontal="left" indent="1"/>
    </xf>
    <xf numFmtId="0" fontId="7" fillId="0" borderId="19" xfId="0" applyFont="1" applyFill="1" applyBorder="1" applyAlignment="1">
      <alignment horizontal="left"/>
    </xf>
    <xf numFmtId="3" fontId="7" fillId="37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36" borderId="2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7" fillId="0" borderId="15" xfId="0" applyFont="1" applyBorder="1" applyAlignment="1">
      <alignment horizontal="left"/>
    </xf>
    <xf numFmtId="3" fontId="7" fillId="37" borderId="68" xfId="0" applyNumberFormat="1" applyFont="1" applyFill="1" applyBorder="1" applyAlignment="1">
      <alignment/>
    </xf>
    <xf numFmtId="3" fontId="7" fillId="37" borderId="53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36" borderId="26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5" fillId="0" borderId="28" xfId="0" applyNumberFormat="1" applyFont="1" applyFill="1" applyBorder="1" applyAlignment="1">
      <alignment/>
    </xf>
    <xf numFmtId="3" fontId="1" fillId="36" borderId="28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2" fillId="0" borderId="21" xfId="0" applyFont="1" applyFill="1" applyBorder="1" applyAlignment="1">
      <alignment horizontal="left" indent="1"/>
    </xf>
    <xf numFmtId="9" fontId="7" fillId="0" borderId="0" xfId="59" applyFont="1" applyFill="1" applyAlignment="1">
      <alignment/>
    </xf>
    <xf numFmtId="3" fontId="1" fillId="36" borderId="28" xfId="0" applyNumberFormat="1" applyFont="1" applyFill="1" applyBorder="1" applyAlignment="1">
      <alignment/>
    </xf>
    <xf numFmtId="0" fontId="1" fillId="0" borderId="62" xfId="0" applyFont="1" applyBorder="1" applyAlignment="1">
      <alignment horizontal="left" indent="2"/>
    </xf>
    <xf numFmtId="0" fontId="1" fillId="0" borderId="51" xfId="0" applyFont="1" applyBorder="1" applyAlignment="1">
      <alignment horizontal="left" indent="2"/>
    </xf>
    <xf numFmtId="0" fontId="12" fillId="0" borderId="37" xfId="0" applyFont="1" applyBorder="1" applyAlignment="1">
      <alignment horizontal="left" indent="1"/>
    </xf>
    <xf numFmtId="3" fontId="12" fillId="0" borderId="25" xfId="0" applyNumberFormat="1" applyFont="1" applyFill="1" applyBorder="1" applyAlignment="1">
      <alignment/>
    </xf>
    <xf numFmtId="3" fontId="12" fillId="36" borderId="25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left" indent="1"/>
    </xf>
    <xf numFmtId="3" fontId="23" fillId="34" borderId="29" xfId="0" applyNumberFormat="1" applyFont="1" applyFill="1" applyBorder="1" applyAlignment="1">
      <alignment horizontal="right"/>
    </xf>
    <xf numFmtId="3" fontId="23" fillId="34" borderId="31" xfId="0" applyNumberFormat="1" applyFont="1" applyFill="1" applyBorder="1" applyAlignment="1">
      <alignment horizontal="center"/>
    </xf>
    <xf numFmtId="3" fontId="24" fillId="0" borderId="29" xfId="0" applyNumberFormat="1" applyFont="1" applyFill="1" applyBorder="1" applyAlignment="1">
      <alignment horizontal="right"/>
    </xf>
    <xf numFmtId="3" fontId="24" fillId="0" borderId="30" xfId="0" applyNumberFormat="1" applyFont="1" applyFill="1" applyBorder="1" applyAlignment="1">
      <alignment/>
    </xf>
    <xf numFmtId="3" fontId="24" fillId="36" borderId="40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2" fillId="0" borderId="69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0" fontId="5" fillId="0" borderId="51" xfId="0" applyFont="1" applyBorder="1" applyAlignment="1">
      <alignment/>
    </xf>
    <xf numFmtId="173" fontId="1" fillId="0" borderId="54" xfId="0" applyNumberFormat="1" applyFont="1" applyFill="1" applyBorder="1" applyAlignment="1">
      <alignment/>
    </xf>
    <xf numFmtId="173" fontId="5" fillId="0" borderId="28" xfId="0" applyNumberFormat="1" applyFont="1" applyFill="1" applyBorder="1" applyAlignment="1">
      <alignment/>
    </xf>
    <xf numFmtId="173" fontId="1" fillId="36" borderId="55" xfId="0" applyNumberFormat="1" applyFont="1" applyFill="1" applyBorder="1" applyAlignment="1">
      <alignment/>
    </xf>
    <xf numFmtId="173" fontId="5" fillId="0" borderId="31" xfId="0" applyNumberFormat="1" applyFont="1" applyFill="1" applyBorder="1" applyAlignment="1">
      <alignment/>
    </xf>
    <xf numFmtId="0" fontId="12" fillId="0" borderId="51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173" fontId="1" fillId="36" borderId="14" xfId="0" applyNumberFormat="1" applyFont="1" applyFill="1" applyBorder="1" applyAlignment="1">
      <alignment/>
    </xf>
    <xf numFmtId="0" fontId="1" fillId="0" borderId="41" xfId="0" applyFont="1" applyBorder="1" applyAlignment="1">
      <alignment horizontal="left" indent="3"/>
    </xf>
    <xf numFmtId="3" fontId="1" fillId="36" borderId="44" xfId="0" applyNumberFormat="1" applyFont="1" applyFill="1" applyBorder="1" applyAlignment="1">
      <alignment/>
    </xf>
    <xf numFmtId="0" fontId="12" fillId="0" borderId="51" xfId="0" applyFont="1" applyBorder="1" applyAlignment="1">
      <alignment horizontal="left" indent="1"/>
    </xf>
    <xf numFmtId="3" fontId="15" fillId="34" borderId="52" xfId="0" applyNumberFormat="1" applyFont="1" applyFill="1" applyBorder="1" applyAlignment="1">
      <alignment horizontal="right"/>
    </xf>
    <xf numFmtId="3" fontId="15" fillId="34" borderId="53" xfId="0" applyNumberFormat="1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right"/>
    </xf>
    <xf numFmtId="173" fontId="12" fillId="0" borderId="54" xfId="0" applyNumberFormat="1" applyFont="1" applyFill="1" applyBorder="1" applyAlignment="1">
      <alignment/>
    </xf>
    <xf numFmtId="173" fontId="12" fillId="36" borderId="5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32" xfId="0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26" fillId="34" borderId="70" xfId="0" applyNumberFormat="1" applyFont="1" applyFill="1" applyBorder="1" applyAlignment="1">
      <alignment horizontal="right"/>
    </xf>
    <xf numFmtId="3" fontId="26" fillId="34" borderId="17" xfId="0" applyNumberFormat="1" applyFont="1" applyFill="1" applyBorder="1" applyAlignment="1">
      <alignment horizontal="center"/>
    </xf>
    <xf numFmtId="3" fontId="7" fillId="0" borderId="70" xfId="0" applyNumberFormat="1" applyFont="1" applyFill="1" applyBorder="1" applyAlignment="1">
      <alignment horizontal="right"/>
    </xf>
    <xf numFmtId="3" fontId="7" fillId="0" borderId="71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1" fillId="0" borderId="51" xfId="0" applyFont="1" applyBorder="1" applyAlignment="1">
      <alignment/>
    </xf>
    <xf numFmtId="0" fontId="10" fillId="35" borderId="21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3" fontId="26" fillId="34" borderId="24" xfId="0" applyNumberFormat="1" applyFont="1" applyFill="1" applyBorder="1" applyAlignment="1">
      <alignment horizontal="right"/>
    </xf>
    <xf numFmtId="3" fontId="26" fillId="34" borderId="26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left"/>
    </xf>
    <xf numFmtId="3" fontId="26" fillId="34" borderId="52" xfId="0" applyNumberFormat="1" applyFont="1" applyFill="1" applyBorder="1" applyAlignment="1">
      <alignment horizontal="right"/>
    </xf>
    <xf numFmtId="3" fontId="26" fillId="34" borderId="53" xfId="0" applyNumberFormat="1" applyFont="1" applyFill="1" applyBorder="1" applyAlignment="1">
      <alignment horizontal="center"/>
    </xf>
    <xf numFmtId="3" fontId="7" fillId="0" borderId="52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/>
    </xf>
    <xf numFmtId="3" fontId="7" fillId="36" borderId="55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6" fillId="34" borderId="29" xfId="0" applyNumberFormat="1" applyFont="1" applyFill="1" applyBorder="1" applyAlignment="1">
      <alignment horizontal="right"/>
    </xf>
    <xf numFmtId="3" fontId="26" fillId="34" borderId="31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3" fontId="27" fillId="34" borderId="44" xfId="0" applyNumberFormat="1" applyFont="1" applyFill="1" applyBorder="1" applyAlignment="1">
      <alignment horizontal="right"/>
    </xf>
    <xf numFmtId="3" fontId="27" fillId="34" borderId="46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36" borderId="4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8" xfId="0" applyFont="1" applyFill="1" applyBorder="1" applyAlignment="1">
      <alignment/>
    </xf>
    <xf numFmtId="3" fontId="5" fillId="37" borderId="70" xfId="0" applyNumberFormat="1" applyFont="1" applyFill="1" applyBorder="1" applyAlignment="1">
      <alignment horizontal="right"/>
    </xf>
    <xf numFmtId="3" fontId="5" fillId="0" borderId="7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3" fontId="1" fillId="0" borderId="6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7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8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/>
    </xf>
    <xf numFmtId="173" fontId="5" fillId="0" borderId="68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1" fillId="36" borderId="76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3" fontId="1" fillId="36" borderId="32" xfId="0" applyNumberFormat="1" applyFont="1" applyFill="1" applyBorder="1" applyAlignment="1">
      <alignment/>
    </xf>
    <xf numFmtId="3" fontId="1" fillId="36" borderId="41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 quotePrefix="1">
      <alignment/>
    </xf>
    <xf numFmtId="3" fontId="18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Alignment="1">
      <alignment horizontal="left"/>
    </xf>
    <xf numFmtId="0" fontId="1" fillId="0" borderId="6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0" fontId="10" fillId="35" borderId="62" xfId="0" applyFont="1" applyFill="1" applyBorder="1" applyAlignment="1">
      <alignment/>
    </xf>
    <xf numFmtId="0" fontId="12" fillId="0" borderId="58" xfId="0" applyFont="1" applyBorder="1" applyAlignment="1">
      <alignment horizontal="left" indent="1"/>
    </xf>
    <xf numFmtId="9" fontId="7" fillId="0" borderId="0" xfId="59" applyFont="1" applyAlignment="1">
      <alignment/>
    </xf>
    <xf numFmtId="0" fontId="1" fillId="0" borderId="15" xfId="0" applyFont="1" applyBorder="1" applyAlignment="1">
      <alignment horizontal="left" indent="2"/>
    </xf>
    <xf numFmtId="3" fontId="1" fillId="0" borderId="2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/>
    </xf>
    <xf numFmtId="0" fontId="1" fillId="0" borderId="77" xfId="0" applyFont="1" applyBorder="1" applyAlignment="1">
      <alignment horizontal="left" indent="2"/>
    </xf>
    <xf numFmtId="3" fontId="1" fillId="0" borderId="42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0" fontId="1" fillId="0" borderId="77" xfId="0" applyFont="1" applyBorder="1" applyAlignment="1">
      <alignment horizontal="left" indent="3"/>
    </xf>
    <xf numFmtId="0" fontId="16" fillId="0" borderId="0" xfId="0" applyFont="1" applyFill="1" applyAlignment="1">
      <alignment/>
    </xf>
    <xf numFmtId="0" fontId="1" fillId="0" borderId="60" xfId="0" applyFont="1" applyBorder="1" applyAlignment="1">
      <alignment horizontal="left" indent="2"/>
    </xf>
    <xf numFmtId="0" fontId="12" fillId="0" borderId="77" xfId="0" applyFont="1" applyBorder="1" applyAlignment="1">
      <alignment horizontal="left" indent="1"/>
    </xf>
    <xf numFmtId="3" fontId="12" fillId="0" borderId="51" xfId="0" applyNumberFormat="1" applyFont="1" applyFill="1" applyBorder="1" applyAlignment="1">
      <alignment horizontal="right"/>
    </xf>
    <xf numFmtId="0" fontId="1" fillId="0" borderId="77" xfId="0" applyFont="1" applyBorder="1" applyAlignment="1">
      <alignment horizontal="left" indent="1"/>
    </xf>
    <xf numFmtId="0" fontId="1" fillId="0" borderId="61" xfId="0" applyFont="1" applyBorder="1" applyAlignment="1">
      <alignment horizontal="left" indent="2"/>
    </xf>
    <xf numFmtId="3" fontId="1" fillId="0" borderId="7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58" xfId="0" applyFont="1" applyBorder="1" applyAlignment="1">
      <alignment horizontal="left" indent="2"/>
    </xf>
    <xf numFmtId="3" fontId="1" fillId="0" borderId="33" xfId="0" applyNumberFormat="1" applyFont="1" applyFill="1" applyBorder="1" applyAlignment="1">
      <alignment horizontal="right"/>
    </xf>
    <xf numFmtId="0" fontId="1" fillId="0" borderId="62" xfId="0" applyFont="1" applyBorder="1" applyAlignment="1">
      <alignment horizontal="left" indent="3"/>
    </xf>
    <xf numFmtId="3" fontId="12" fillId="0" borderId="31" xfId="0" applyNumberFormat="1" applyFont="1" applyFill="1" applyBorder="1" applyAlignment="1">
      <alignment horizontal="right"/>
    </xf>
    <xf numFmtId="3" fontId="1" fillId="0" borderId="7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 horizontal="right"/>
    </xf>
    <xf numFmtId="0" fontId="7" fillId="0" borderId="61" xfId="0" applyFont="1" applyBorder="1" applyAlignment="1">
      <alignment horizontal="left" indent="1"/>
    </xf>
    <xf numFmtId="3" fontId="7" fillId="0" borderId="16" xfId="0" applyNumberFormat="1" applyFont="1" applyFill="1" applyBorder="1" applyAlignment="1">
      <alignment/>
    </xf>
    <xf numFmtId="0" fontId="7" fillId="0" borderId="15" xfId="0" applyFont="1" applyBorder="1" applyAlignment="1">
      <alignment horizontal="left"/>
    </xf>
    <xf numFmtId="3" fontId="7" fillId="0" borderId="68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12" fillId="0" borderId="62" xfId="0" applyFont="1" applyFill="1" applyBorder="1" applyAlignment="1">
      <alignment horizontal="left" indent="1"/>
    </xf>
    <xf numFmtId="0" fontId="1" fillId="0" borderId="62" xfId="0" applyFont="1" applyFill="1" applyBorder="1" applyAlignment="1">
      <alignment horizontal="left" indent="3"/>
    </xf>
    <xf numFmtId="9" fontId="7" fillId="0" borderId="0" xfId="59" applyFont="1" applyFill="1" applyAlignment="1">
      <alignment/>
    </xf>
    <xf numFmtId="0" fontId="1" fillId="38" borderId="0" xfId="0" applyFont="1" applyFill="1" applyAlignment="1">
      <alignment/>
    </xf>
    <xf numFmtId="0" fontId="1" fillId="0" borderId="61" xfId="0" applyFont="1" applyFill="1" applyBorder="1" applyAlignment="1">
      <alignment horizontal="left" indent="3"/>
    </xf>
    <xf numFmtId="0" fontId="1" fillId="0" borderId="6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indent="1"/>
    </xf>
    <xf numFmtId="3" fontId="12" fillId="0" borderId="26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0" fontId="5" fillId="0" borderId="61" xfId="0" applyFont="1" applyBorder="1" applyAlignment="1">
      <alignment/>
    </xf>
    <xf numFmtId="173" fontId="1" fillId="0" borderId="54" xfId="0" applyNumberFormat="1" applyFont="1" applyFill="1" applyBorder="1" applyAlignment="1">
      <alignment/>
    </xf>
    <xf numFmtId="0" fontId="12" fillId="0" borderId="61" xfId="0" applyFont="1" applyFill="1" applyBorder="1" applyAlignment="1">
      <alignment horizontal="left" indent="1"/>
    </xf>
    <xf numFmtId="0" fontId="1" fillId="0" borderId="61" xfId="0" applyFont="1" applyFill="1" applyBorder="1" applyAlignment="1">
      <alignment horizontal="left" indent="1"/>
    </xf>
    <xf numFmtId="0" fontId="12" fillId="0" borderId="61" xfId="0" applyFont="1" applyBorder="1" applyAlignment="1">
      <alignment horizontal="left" indent="1"/>
    </xf>
    <xf numFmtId="173" fontId="12" fillId="0" borderId="25" xfId="0" applyNumberFormat="1" applyFont="1" applyFill="1" applyBorder="1" applyAlignment="1">
      <alignment/>
    </xf>
    <xf numFmtId="173" fontId="12" fillId="0" borderId="26" xfId="0" applyNumberFormat="1" applyFont="1" applyFill="1" applyBorder="1" applyAlignment="1">
      <alignment/>
    </xf>
    <xf numFmtId="0" fontId="1" fillId="0" borderId="58" xfId="0" applyFont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61" xfId="0" applyFont="1" applyBorder="1" applyAlignment="1">
      <alignment/>
    </xf>
    <xf numFmtId="0" fontId="10" fillId="35" borderId="6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0" fontId="7" fillId="0" borderId="61" xfId="0" applyFont="1" applyFill="1" applyBorder="1" applyAlignment="1">
      <alignment horizontal="left"/>
    </xf>
    <xf numFmtId="3" fontId="7" fillId="0" borderId="78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/>
    </xf>
    <xf numFmtId="0" fontId="5" fillId="0" borderId="58" xfId="0" applyFont="1" applyBorder="1" applyAlignment="1">
      <alignment/>
    </xf>
    <xf numFmtId="3" fontId="5" fillId="0" borderId="42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2" fillId="0" borderId="67" xfId="0" applyNumberFormat="1" applyFont="1" applyFill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65" xfId="0" applyNumberFormat="1" applyFont="1" applyFill="1" applyBorder="1" applyAlignment="1">
      <alignment horizontal="right"/>
    </xf>
    <xf numFmtId="3" fontId="12" fillId="0" borderId="79" xfId="0" applyNumberFormat="1" applyFont="1" applyFill="1" applyBorder="1" applyAlignment="1">
      <alignment horizontal="right"/>
    </xf>
    <xf numFmtId="3" fontId="12" fillId="0" borderId="46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/>
    </xf>
    <xf numFmtId="9" fontId="7" fillId="0" borderId="54" xfId="59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3" fontId="7" fillId="0" borderId="80" xfId="0" applyNumberFormat="1" applyFont="1" applyFill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7" fillId="0" borderId="7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82" xfId="0" applyNumberFormat="1" applyFont="1" applyFill="1" applyBorder="1" applyAlignment="1">
      <alignment horizontal="right"/>
    </xf>
    <xf numFmtId="3" fontId="12" fillId="0" borderId="83" xfId="0" applyNumberFormat="1" applyFont="1" applyFill="1" applyBorder="1" applyAlignment="1">
      <alignment horizontal="right"/>
    </xf>
    <xf numFmtId="3" fontId="12" fillId="0" borderId="84" xfId="0" applyNumberFormat="1" applyFont="1" applyFill="1" applyBorder="1" applyAlignment="1">
      <alignment horizontal="right"/>
    </xf>
    <xf numFmtId="3" fontId="12" fillId="0" borderId="55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0" fontId="12" fillId="0" borderId="61" xfId="0" applyFont="1" applyBorder="1" applyAlignment="1">
      <alignment horizontal="left" indent="2"/>
    </xf>
    <xf numFmtId="0" fontId="1" fillId="0" borderId="8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1" xfId="0" applyFont="1" applyBorder="1" applyAlignment="1">
      <alignment horizontal="left" indent="3"/>
    </xf>
    <xf numFmtId="3" fontId="5" fillId="0" borderId="78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48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9" fontId="1" fillId="0" borderId="58" xfId="59" applyFont="1" applyBorder="1" applyAlignment="1">
      <alignment horizontal="left" indent="2"/>
    </xf>
    <xf numFmtId="3" fontId="33" fillId="0" borderId="78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3" fontId="12" fillId="0" borderId="85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3" fontId="33" fillId="0" borderId="54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" fillId="0" borderId="60" xfId="0" applyFont="1" applyFill="1" applyBorder="1" applyAlignment="1">
      <alignment horizontal="left" indent="2"/>
    </xf>
    <xf numFmtId="0" fontId="24" fillId="0" borderId="0" xfId="0" applyFont="1" applyFill="1" applyAlignment="1">
      <alignment/>
    </xf>
    <xf numFmtId="3" fontId="1" fillId="0" borderId="86" xfId="0" applyNumberFormat="1" applyFont="1" applyFill="1" applyBorder="1" applyAlignment="1">
      <alignment horizontal="right"/>
    </xf>
    <xf numFmtId="3" fontId="1" fillId="0" borderId="87" xfId="0" applyNumberFormat="1" applyFont="1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3" fontId="12" fillId="0" borderId="69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0" fontId="1" fillId="0" borderId="77" xfId="0" applyFont="1" applyBorder="1" applyAlignment="1">
      <alignment horizontal="left" indent="2"/>
    </xf>
    <xf numFmtId="0" fontId="6" fillId="33" borderId="76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89" xfId="0" applyNumberFormat="1" applyFont="1" applyBorder="1" applyAlignment="1">
      <alignment/>
    </xf>
    <xf numFmtId="0" fontId="4" fillId="33" borderId="65" xfId="0" applyNumberFormat="1" applyFont="1" applyFill="1" applyBorder="1" applyAlignment="1">
      <alignment horizontal="center"/>
    </xf>
    <xf numFmtId="0" fontId="1" fillId="0" borderId="79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89" xfId="0" applyFont="1" applyBorder="1" applyAlignment="1">
      <alignment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76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89" xfId="0" applyNumberFormat="1" applyFont="1" applyFill="1" applyBorder="1" applyAlignment="1">
      <alignment/>
    </xf>
    <xf numFmtId="0" fontId="4" fillId="0" borderId="6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1" fillId="0" borderId="7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438400" y="0"/>
          <a:ext cx="771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438400" y="0"/>
          <a:ext cx="771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178</xdr:row>
      <xdr:rowOff>28575</xdr:rowOff>
    </xdr:from>
    <xdr:to>
      <xdr:col>4</xdr:col>
      <xdr:colOff>561975</xdr:colOff>
      <xdr:row>179</xdr:row>
      <xdr:rowOff>133350</xdr:rowOff>
    </xdr:to>
    <xdr:sp>
      <xdr:nvSpPr>
        <xdr:cNvPr id="3" name="AutoShape 3"/>
        <xdr:cNvSpPr>
          <a:spLocks/>
        </xdr:cNvSpPr>
      </xdr:nvSpPr>
      <xdr:spPr>
        <a:xfrm rot="5400000">
          <a:off x="2438400" y="27898725"/>
          <a:ext cx="7715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4</xdr:col>
      <xdr:colOff>638175</xdr:colOff>
      <xdr:row>188</xdr:row>
      <xdr:rowOff>123825</xdr:rowOff>
    </xdr:to>
    <xdr:sp>
      <xdr:nvSpPr>
        <xdr:cNvPr id="4" name="AutoShape 4"/>
        <xdr:cNvSpPr>
          <a:spLocks/>
        </xdr:cNvSpPr>
      </xdr:nvSpPr>
      <xdr:spPr>
        <a:xfrm rot="5400000">
          <a:off x="2438400" y="29346525"/>
          <a:ext cx="7715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</xdr:row>
      <xdr:rowOff>47625</xdr:rowOff>
    </xdr:from>
    <xdr:to>
      <xdr:col>3</xdr:col>
      <xdr:colOff>0</xdr:colOff>
      <xdr:row>150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438400" y="22307550"/>
          <a:ext cx="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66675</xdr:rowOff>
    </xdr:from>
    <xdr:to>
      <xdr:col>3</xdr:col>
      <xdr:colOff>0</xdr:colOff>
      <xdr:row>17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438400" y="3057525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0</xdr:colOff>
      <xdr:row>33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438400" y="5286375"/>
          <a:ext cx="0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85725</xdr:rowOff>
    </xdr:from>
    <xdr:to>
      <xdr:col>3</xdr:col>
      <xdr:colOff>0</xdr:colOff>
      <xdr:row>35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2438400" y="5610225"/>
          <a:ext cx="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66675</xdr:rowOff>
    </xdr:from>
    <xdr:to>
      <xdr:col>3</xdr:col>
      <xdr:colOff>0</xdr:colOff>
      <xdr:row>67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2438400" y="10287000"/>
          <a:ext cx="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66675</xdr:rowOff>
    </xdr:from>
    <xdr:to>
      <xdr:col>3</xdr:col>
      <xdr:colOff>76200</xdr:colOff>
      <xdr:row>52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2438400" y="7972425"/>
          <a:ext cx="76200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66675</xdr:rowOff>
    </xdr:from>
    <xdr:to>
      <xdr:col>3</xdr:col>
      <xdr:colOff>76200</xdr:colOff>
      <xdr:row>109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438400" y="167259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104775</xdr:rowOff>
    </xdr:from>
    <xdr:to>
      <xdr:col>3</xdr:col>
      <xdr:colOff>85725</xdr:colOff>
      <xdr:row>77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2447925" y="11620500"/>
          <a:ext cx="762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66675</xdr:rowOff>
    </xdr:from>
    <xdr:to>
      <xdr:col>3</xdr:col>
      <xdr:colOff>0</xdr:colOff>
      <xdr:row>46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438400" y="6457950"/>
          <a:ext cx="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123825</xdr:colOff>
      <xdr:row>15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486025" y="2724150"/>
          <a:ext cx="76200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145</xdr:row>
      <xdr:rowOff>47625</xdr:rowOff>
    </xdr:from>
    <xdr:to>
      <xdr:col>7</xdr:col>
      <xdr:colOff>304800</xdr:colOff>
      <xdr:row>150</xdr:row>
      <xdr:rowOff>104775</xdr:rowOff>
    </xdr:to>
    <xdr:sp>
      <xdr:nvSpPr>
        <xdr:cNvPr id="15" name="AutoShape 84"/>
        <xdr:cNvSpPr>
          <a:spLocks/>
        </xdr:cNvSpPr>
      </xdr:nvSpPr>
      <xdr:spPr>
        <a:xfrm>
          <a:off x="4848225" y="22307550"/>
          <a:ext cx="66675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42</xdr:row>
      <xdr:rowOff>66675</xdr:rowOff>
    </xdr:from>
    <xdr:to>
      <xdr:col>8</xdr:col>
      <xdr:colOff>114300</xdr:colOff>
      <xdr:row>46</xdr:row>
      <xdr:rowOff>0</xdr:rowOff>
    </xdr:to>
    <xdr:sp>
      <xdr:nvSpPr>
        <xdr:cNvPr id="16" name="AutoShape 85"/>
        <xdr:cNvSpPr>
          <a:spLocks/>
        </xdr:cNvSpPr>
      </xdr:nvSpPr>
      <xdr:spPr>
        <a:xfrm>
          <a:off x="5162550" y="6457950"/>
          <a:ext cx="1333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609600" y="0"/>
          <a:ext cx="1828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609600" y="0"/>
          <a:ext cx="1828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190750" y="0"/>
          <a:ext cx="1790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2266950" y="0"/>
          <a:ext cx="1790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192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383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669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57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383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438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438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38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771650" y="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438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933700" y="0"/>
          <a:ext cx="2867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933700" y="0"/>
          <a:ext cx="2867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222</xdr:row>
      <xdr:rowOff>38100</xdr:rowOff>
    </xdr:from>
    <xdr:to>
      <xdr:col>6</xdr:col>
      <xdr:colOff>323850</xdr:colOff>
      <xdr:row>223</xdr:row>
      <xdr:rowOff>142875</xdr:rowOff>
    </xdr:to>
    <xdr:sp>
      <xdr:nvSpPr>
        <xdr:cNvPr id="3" name="AutoShape 3"/>
        <xdr:cNvSpPr>
          <a:spLocks/>
        </xdr:cNvSpPr>
      </xdr:nvSpPr>
      <xdr:spPr>
        <a:xfrm rot="5400000">
          <a:off x="5200650" y="32223075"/>
          <a:ext cx="27813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231</xdr:row>
      <xdr:rowOff>38100</xdr:rowOff>
    </xdr:from>
    <xdr:to>
      <xdr:col>6</xdr:col>
      <xdr:colOff>400050</xdr:colOff>
      <xdr:row>233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5276850" y="33547050"/>
          <a:ext cx="27813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3</xdr:col>
      <xdr:colOff>85725</xdr:colOff>
      <xdr:row>22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4848225" y="31623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85725</xdr:rowOff>
    </xdr:from>
    <xdr:to>
      <xdr:col>3</xdr:col>
      <xdr:colOff>114300</xdr:colOff>
      <xdr:row>35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4876800" y="5086350"/>
          <a:ext cx="762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85725</xdr:rowOff>
    </xdr:from>
    <xdr:to>
      <xdr:col>3</xdr:col>
      <xdr:colOff>104775</xdr:colOff>
      <xdr:row>37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4867275" y="5372100"/>
          <a:ext cx="762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62</xdr:row>
      <xdr:rowOff>66675</xdr:rowOff>
    </xdr:from>
    <xdr:to>
      <xdr:col>3</xdr:col>
      <xdr:colOff>85725</xdr:colOff>
      <xdr:row>63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848225" y="9124950"/>
          <a:ext cx="7620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66675</xdr:rowOff>
    </xdr:from>
    <xdr:to>
      <xdr:col>4</xdr:col>
      <xdr:colOff>0</xdr:colOff>
      <xdr:row>48</xdr:row>
      <xdr:rowOff>85725</xdr:rowOff>
    </xdr:to>
    <xdr:sp>
      <xdr:nvSpPr>
        <xdr:cNvPr id="9" name="AutoShape 10"/>
        <xdr:cNvSpPr>
          <a:spLocks/>
        </xdr:cNvSpPr>
      </xdr:nvSpPr>
      <xdr:spPr>
        <a:xfrm>
          <a:off x="5800725" y="6962775"/>
          <a:ext cx="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66675</xdr:rowOff>
    </xdr:from>
    <xdr:to>
      <xdr:col>4</xdr:col>
      <xdr:colOff>0</xdr:colOff>
      <xdr:row>115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5800725" y="16640175"/>
          <a:ext cx="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104775</xdr:rowOff>
    </xdr:from>
    <xdr:to>
      <xdr:col>4</xdr:col>
      <xdr:colOff>0</xdr:colOff>
      <xdr:row>79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5800725" y="10753725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95250</xdr:rowOff>
    </xdr:from>
    <xdr:to>
      <xdr:col>4</xdr:col>
      <xdr:colOff>0</xdr:colOff>
      <xdr:row>20</xdr:row>
      <xdr:rowOff>85725</xdr:rowOff>
    </xdr:to>
    <xdr:sp>
      <xdr:nvSpPr>
        <xdr:cNvPr id="12" name="AutoShape 14"/>
        <xdr:cNvSpPr>
          <a:spLocks/>
        </xdr:cNvSpPr>
      </xdr:nvSpPr>
      <xdr:spPr>
        <a:xfrm>
          <a:off x="5800725" y="2752725"/>
          <a:ext cx="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50">
      <selection activeCell="L75" sqref="L75"/>
    </sheetView>
  </sheetViews>
  <sheetFormatPr defaultColWidth="9.140625" defaultRowHeight="12.75"/>
  <cols>
    <col min="1" max="1" width="36.57421875" style="0" customWidth="1"/>
    <col min="2" max="2" width="10.7109375" style="0" hidden="1" customWidth="1"/>
    <col min="3" max="3" width="6.7109375" style="0" hidden="1" customWidth="1"/>
    <col min="4" max="4" width="11.57421875" style="0" bestFit="1" customWidth="1"/>
    <col min="5" max="5" width="9.57421875" style="0" hidden="1" customWidth="1"/>
    <col min="6" max="6" width="11.7109375" style="0" customWidth="1"/>
    <col min="7" max="7" width="9.28125" style="0" customWidth="1"/>
    <col min="8" max="8" width="8.57421875" style="0" customWidth="1"/>
    <col min="9" max="9" width="11.57421875" style="0" bestFit="1" customWidth="1"/>
    <col min="10" max="10" width="6.140625" style="0" bestFit="1" customWidth="1"/>
    <col min="11" max="11" width="4.7109375" style="0" customWidth="1"/>
    <col min="12" max="12" width="16.8515625" style="0" customWidth="1"/>
  </cols>
  <sheetData>
    <row r="1" spans="1:10" ht="15.75">
      <c r="A1" s="475" t="s">
        <v>0</v>
      </c>
      <c r="B1" s="475"/>
      <c r="C1" s="475"/>
      <c r="D1" s="1"/>
      <c r="E1" s="1"/>
      <c r="F1" s="1"/>
      <c r="G1" s="1"/>
      <c r="H1" s="1"/>
      <c r="I1" s="1"/>
      <c r="J1" s="1"/>
    </row>
    <row r="2" spans="1:10" ht="12.75">
      <c r="A2" s="476" t="s">
        <v>152</v>
      </c>
      <c r="B2" s="476"/>
      <c r="C2" s="476"/>
      <c r="D2" s="2"/>
      <c r="E2" s="1"/>
      <c r="F2" s="1"/>
      <c r="G2" s="1"/>
      <c r="H2" s="2"/>
      <c r="I2" s="1"/>
      <c r="J2" s="1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477"/>
      <c r="C4" s="478"/>
      <c r="D4" s="470"/>
      <c r="E4" s="471"/>
      <c r="F4" s="4"/>
      <c r="G4" s="469" t="s">
        <v>1</v>
      </c>
      <c r="H4" s="470"/>
      <c r="I4" s="471"/>
      <c r="J4" s="1"/>
    </row>
    <row r="5" spans="1:10" ht="13.5" thickBot="1">
      <c r="A5" s="5" t="s">
        <v>2</v>
      </c>
      <c r="B5" s="472" t="s">
        <v>3</v>
      </c>
      <c r="C5" s="473"/>
      <c r="D5" s="474"/>
      <c r="E5" s="474"/>
      <c r="F5" s="6"/>
      <c r="G5" s="472" t="s">
        <v>4</v>
      </c>
      <c r="H5" s="474"/>
      <c r="I5" s="474"/>
      <c r="J5" s="7"/>
    </row>
    <row r="6" spans="1:11" ht="34.5" customHeight="1" thickBot="1">
      <c r="A6" s="8"/>
      <c r="B6" s="9" t="s">
        <v>5</v>
      </c>
      <c r="C6" s="10" t="s">
        <v>6</v>
      </c>
      <c r="D6" s="12" t="s">
        <v>10</v>
      </c>
      <c r="E6" s="13" t="s">
        <v>9</v>
      </c>
      <c r="F6" s="285" t="s">
        <v>151</v>
      </c>
      <c r="G6" s="9" t="s">
        <v>7</v>
      </c>
      <c r="H6" s="11" t="s">
        <v>8</v>
      </c>
      <c r="I6" s="13" t="s">
        <v>9</v>
      </c>
      <c r="J6" s="14" t="s">
        <v>11</v>
      </c>
      <c r="K6" s="15"/>
    </row>
    <row r="7" spans="1:10" ht="12.75">
      <c r="A7" s="16"/>
      <c r="B7" s="17" t="s">
        <v>12</v>
      </c>
      <c r="C7" s="18"/>
      <c r="D7" s="22"/>
      <c r="E7" s="21" t="s">
        <v>12</v>
      </c>
      <c r="F7" s="286"/>
      <c r="G7" s="19" t="s">
        <v>12</v>
      </c>
      <c r="H7" s="20" t="s">
        <v>12</v>
      </c>
      <c r="I7" s="21" t="s">
        <v>12</v>
      </c>
      <c r="J7" s="1"/>
    </row>
    <row r="8" spans="1:10" ht="12.75">
      <c r="A8" s="16"/>
      <c r="B8" s="23"/>
      <c r="C8" s="24"/>
      <c r="D8" s="28"/>
      <c r="E8" s="27"/>
      <c r="F8" s="287"/>
      <c r="G8" s="25"/>
      <c r="H8" s="26"/>
      <c r="I8" s="27"/>
      <c r="J8" s="1"/>
    </row>
    <row r="9" spans="1:10" s="33" customFormat="1" ht="14.25">
      <c r="A9" s="29" t="s">
        <v>13</v>
      </c>
      <c r="B9" s="23"/>
      <c r="C9" s="24"/>
      <c r="D9" s="31"/>
      <c r="E9" s="27"/>
      <c r="F9" s="287"/>
      <c r="G9" s="25"/>
      <c r="H9" s="30"/>
      <c r="I9" s="27"/>
      <c r="J9" s="32"/>
    </row>
    <row r="10" spans="1:11" s="43" customFormat="1" ht="13.5" thickBot="1">
      <c r="A10" s="34" t="s">
        <v>14</v>
      </c>
      <c r="B10" s="35">
        <f>SUM(B11:B11:B16)</f>
        <v>0</v>
      </c>
      <c r="C10" s="36">
        <f>SUM(C11:C11:C16)</f>
        <v>0</v>
      </c>
      <c r="D10" s="40">
        <f>SUM(D11:D18)</f>
        <v>6825603</v>
      </c>
      <c r="E10" s="39" t="e">
        <f>#REF!+#REF!</f>
        <v>#REF!</v>
      </c>
      <c r="F10" s="288">
        <f>(I10*11.2/12)</f>
        <v>7242674.133333333</v>
      </c>
      <c r="G10" s="38">
        <f>SUM(G11:G19)</f>
        <v>5730008</v>
      </c>
      <c r="H10" s="38">
        <f>SUM(H11:H19)</f>
        <v>2030000</v>
      </c>
      <c r="I10" s="39">
        <f>G10+H10</f>
        <v>7760008</v>
      </c>
      <c r="J10" s="41">
        <f>(D10-F10)/F10</f>
        <v>-0.057585240707410106</v>
      </c>
      <c r="K10" s="300"/>
    </row>
    <row r="11" spans="1:10" ht="12.75">
      <c r="A11" s="44" t="s">
        <v>15</v>
      </c>
      <c r="B11" s="45"/>
      <c r="C11" s="46"/>
      <c r="D11" s="50">
        <f>166318+475678</f>
        <v>641996</v>
      </c>
      <c r="E11" s="39" t="e">
        <f>#REF!+#REF!</f>
        <v>#REF!</v>
      </c>
      <c r="F11" s="289"/>
      <c r="G11" s="47">
        <v>1117094</v>
      </c>
      <c r="H11" s="48">
        <v>120000</v>
      </c>
      <c r="I11" s="49">
        <f aca="true" t="shared" si="0" ref="I11:I16">G11+H11</f>
        <v>1237094</v>
      </c>
      <c r="J11" s="1"/>
    </row>
    <row r="12" spans="1:10" ht="12.75">
      <c r="A12" s="51" t="s">
        <v>16</v>
      </c>
      <c r="B12" s="52"/>
      <c r="C12" s="53"/>
      <c r="D12" s="54">
        <f>243588+664835</f>
        <v>908423</v>
      </c>
      <c r="E12" s="39" t="e">
        <f>#REF!+#REF!</f>
        <v>#REF!</v>
      </c>
      <c r="F12" s="288"/>
      <c r="G12" s="25">
        <v>664835</v>
      </c>
      <c r="H12" s="30">
        <v>130000</v>
      </c>
      <c r="I12" s="39">
        <f t="shared" si="0"/>
        <v>794835</v>
      </c>
      <c r="J12" s="1"/>
    </row>
    <row r="13" spans="1:10" ht="12.75">
      <c r="A13" s="51" t="s">
        <v>17</v>
      </c>
      <c r="B13" s="52"/>
      <c r="C13" s="53"/>
      <c r="D13" s="55">
        <f>56923+670461</f>
        <v>727384</v>
      </c>
      <c r="E13" s="39" t="e">
        <f>#REF!+#REF!</f>
        <v>#REF!</v>
      </c>
      <c r="F13" s="288"/>
      <c r="G13" s="25">
        <v>664835</v>
      </c>
      <c r="H13" s="26">
        <v>170000</v>
      </c>
      <c r="I13" s="39">
        <f t="shared" si="0"/>
        <v>834835</v>
      </c>
      <c r="J13" s="1"/>
    </row>
    <row r="14" spans="1:10" ht="12.75">
      <c r="A14" s="56" t="s">
        <v>18</v>
      </c>
      <c r="B14" s="57"/>
      <c r="C14" s="58"/>
      <c r="D14" s="54">
        <f>50973+166000</f>
        <v>216973</v>
      </c>
      <c r="E14" s="39" t="e">
        <f>#REF!+#REF!</f>
        <v>#REF!</v>
      </c>
      <c r="F14" s="288"/>
      <c r="G14" s="25"/>
      <c r="H14" s="30">
        <v>120000</v>
      </c>
      <c r="I14" s="39">
        <f t="shared" si="0"/>
        <v>120000</v>
      </c>
      <c r="J14" s="1"/>
    </row>
    <row r="15" spans="1:10" ht="15" customHeight="1">
      <c r="A15" s="56" t="s">
        <v>19</v>
      </c>
      <c r="B15" s="57"/>
      <c r="C15" s="58"/>
      <c r="D15" s="54">
        <f>2681146-50973</f>
        <v>2630173</v>
      </c>
      <c r="E15" s="39" t="e">
        <f>#REF!+#REF!</f>
        <v>#REF!</v>
      </c>
      <c r="F15" s="288"/>
      <c r="G15" s="25">
        <v>2087792</v>
      </c>
      <c r="H15" s="30">
        <v>120000</v>
      </c>
      <c r="I15" s="39">
        <f t="shared" si="0"/>
        <v>2207792</v>
      </c>
      <c r="J15" s="1"/>
    </row>
    <row r="16" spans="1:10" ht="13.5" thickBot="1">
      <c r="A16" s="59" t="s">
        <v>20</v>
      </c>
      <c r="B16" s="60"/>
      <c r="C16" s="61"/>
      <c r="D16" s="54"/>
      <c r="E16" s="39" t="e">
        <f>#REF!+#REF!</f>
        <v>#REF!</v>
      </c>
      <c r="F16" s="288"/>
      <c r="G16" s="62"/>
      <c r="H16" s="63">
        <v>700000</v>
      </c>
      <c r="I16" s="64">
        <f t="shared" si="0"/>
        <v>700000</v>
      </c>
      <c r="J16" s="1"/>
    </row>
    <row r="17" spans="1:10" ht="12.75">
      <c r="A17" s="56" t="s">
        <v>21</v>
      </c>
      <c r="B17" s="65"/>
      <c r="C17" s="66"/>
      <c r="D17" s="67">
        <v>1700654</v>
      </c>
      <c r="E17" s="39" t="e">
        <f>#REF!+#REF!</f>
        <v>#REF!</v>
      </c>
      <c r="F17" s="288"/>
      <c r="G17" s="25">
        <v>1195452</v>
      </c>
      <c r="H17" s="30">
        <v>330000</v>
      </c>
      <c r="I17" s="68">
        <f>G17+H17</f>
        <v>1525452</v>
      </c>
      <c r="J17" s="1"/>
    </row>
    <row r="18" spans="1:11" ht="12.75">
      <c r="A18" s="69" t="s">
        <v>22</v>
      </c>
      <c r="B18" s="70"/>
      <c r="C18" s="71"/>
      <c r="D18" s="54"/>
      <c r="E18" s="39" t="e">
        <f>#REF!+#REF!</f>
        <v>#REF!</v>
      </c>
      <c r="F18" s="288"/>
      <c r="G18" s="72"/>
      <c r="H18" s="73">
        <v>340000</v>
      </c>
      <c r="I18" s="39">
        <f>G18+H18</f>
        <v>340000</v>
      </c>
      <c r="J18" s="1"/>
      <c r="K18" s="74"/>
    </row>
    <row r="19" spans="1:10" ht="12.75">
      <c r="A19" s="75"/>
      <c r="B19" s="76"/>
      <c r="C19" s="77"/>
      <c r="D19" s="81"/>
      <c r="E19" s="80"/>
      <c r="F19" s="136"/>
      <c r="G19" s="78"/>
      <c r="H19" s="79"/>
      <c r="I19" s="82"/>
      <c r="J19" s="1"/>
    </row>
    <row r="20" spans="1:11" s="43" customFormat="1" ht="16.5" customHeight="1" thickBot="1">
      <c r="A20" s="83" t="s">
        <v>23</v>
      </c>
      <c r="B20" s="84">
        <f>SUM(B21:B26)</f>
        <v>0</v>
      </c>
      <c r="C20" s="84">
        <f>SUM(C21:C26)</f>
        <v>0</v>
      </c>
      <c r="D20" s="40">
        <f>SUM(D21:D26)</f>
        <v>9886795</v>
      </c>
      <c r="E20" s="39" t="e">
        <f>#REF!+#REF!</f>
        <v>#REF!</v>
      </c>
      <c r="F20" s="288">
        <f>(I20*11.2/12)</f>
        <v>8972430.133333333</v>
      </c>
      <c r="G20" s="85">
        <f>SUM(G21:G26)</f>
        <v>7688409</v>
      </c>
      <c r="H20" s="86">
        <f>SUM(H21:H26)</f>
        <v>1924909</v>
      </c>
      <c r="I20" s="39">
        <f>G20+H20</f>
        <v>9613318</v>
      </c>
      <c r="J20" s="41">
        <f>(D20-F20)/F20</f>
        <v>0.1019082737986139</v>
      </c>
      <c r="K20" s="42"/>
    </row>
    <row r="21" spans="1:10" ht="12.75">
      <c r="A21" s="87" t="s">
        <v>24</v>
      </c>
      <c r="B21" s="88"/>
      <c r="C21" s="89"/>
      <c r="D21" s="67">
        <f>1251558-684835+836473</f>
        <v>1403196</v>
      </c>
      <c r="E21" s="39" t="e">
        <f>#REF!+#REF!</f>
        <v>#REF!</v>
      </c>
      <c r="F21" s="289"/>
      <c r="G21" s="47">
        <v>1155000</v>
      </c>
      <c r="H21" s="90">
        <v>250000</v>
      </c>
      <c r="I21" s="49">
        <f aca="true" t="shared" si="1" ref="I21:I26">G21+H21</f>
        <v>1405000</v>
      </c>
      <c r="J21" s="1"/>
    </row>
    <row r="22" spans="1:10" ht="12.75">
      <c r="A22" s="51" t="s">
        <v>25</v>
      </c>
      <c r="B22" s="65"/>
      <c r="C22" s="66"/>
      <c r="D22" s="54">
        <v>1820745</v>
      </c>
      <c r="E22" s="39" t="e">
        <f>#REF!+#REF!</f>
        <v>#REF!</v>
      </c>
      <c r="F22" s="288"/>
      <c r="G22" s="25">
        <v>1411844</v>
      </c>
      <c r="H22" s="30">
        <v>400000</v>
      </c>
      <c r="I22" s="39">
        <f t="shared" si="1"/>
        <v>1811844</v>
      </c>
      <c r="J22" s="1"/>
    </row>
    <row r="23" spans="1:10" ht="12.75" customHeight="1">
      <c r="A23" s="56" t="s">
        <v>26</v>
      </c>
      <c r="B23" s="65"/>
      <c r="C23" s="66"/>
      <c r="D23" s="55"/>
      <c r="E23" s="39" t="e">
        <f>#REF!+#REF!</f>
        <v>#REF!</v>
      </c>
      <c r="F23" s="288"/>
      <c r="G23" s="25"/>
      <c r="H23" s="26">
        <v>300000</v>
      </c>
      <c r="I23" s="39">
        <f t="shared" si="1"/>
        <v>300000</v>
      </c>
      <c r="J23" s="1"/>
    </row>
    <row r="24" spans="1:10" s="74" customFormat="1" ht="12.75">
      <c r="A24" s="91" t="s">
        <v>27</v>
      </c>
      <c r="B24" s="92"/>
      <c r="C24" s="93"/>
      <c r="D24" s="94">
        <v>1162499</v>
      </c>
      <c r="E24" s="39" t="e">
        <f>#REF!+#REF!</f>
        <v>#REF!</v>
      </c>
      <c r="F24" s="288"/>
      <c r="G24" s="25">
        <v>863712</v>
      </c>
      <c r="H24" s="26">
        <v>430000</v>
      </c>
      <c r="I24" s="39">
        <f t="shared" si="1"/>
        <v>1293712</v>
      </c>
      <c r="J24" s="2"/>
    </row>
    <row r="25" spans="1:10" ht="12.75">
      <c r="A25" s="51" t="s">
        <v>28</v>
      </c>
      <c r="B25" s="65"/>
      <c r="C25" s="66"/>
      <c r="D25" s="55">
        <v>3505177</v>
      </c>
      <c r="E25" s="39" t="e">
        <f>#REF!+#REF!</f>
        <v>#REF!</v>
      </c>
      <c r="F25" s="288"/>
      <c r="G25" s="25">
        <v>2677514</v>
      </c>
      <c r="H25" s="26">
        <v>259909</v>
      </c>
      <c r="I25" s="39">
        <f t="shared" si="1"/>
        <v>2937423</v>
      </c>
      <c r="J25" s="1"/>
    </row>
    <row r="26" spans="1:10" ht="13.5" thickBot="1">
      <c r="A26" s="95" t="s">
        <v>29</v>
      </c>
      <c r="B26" s="96"/>
      <c r="C26" s="97"/>
      <c r="D26" s="98">
        <v>1995178</v>
      </c>
      <c r="E26" s="39" t="e">
        <f>#REF!+#REF!</f>
        <v>#REF!</v>
      </c>
      <c r="F26" s="288"/>
      <c r="G26" s="62">
        <v>1580339</v>
      </c>
      <c r="H26" s="63">
        <v>285000</v>
      </c>
      <c r="I26" s="64">
        <f t="shared" si="1"/>
        <v>1865339</v>
      </c>
      <c r="J26" s="1"/>
    </row>
    <row r="27" spans="1:10" ht="12.75">
      <c r="A27" s="99"/>
      <c r="B27" s="100"/>
      <c r="C27" s="101"/>
      <c r="D27" s="105"/>
      <c r="E27" s="104"/>
      <c r="F27" s="290"/>
      <c r="G27" s="102"/>
      <c r="H27" s="103"/>
      <c r="I27" s="106"/>
      <c r="J27" s="1"/>
    </row>
    <row r="28" spans="1:11" s="43" customFormat="1" ht="16.5" customHeight="1" thickBot="1">
      <c r="A28" s="83" t="s">
        <v>30</v>
      </c>
      <c r="B28" s="107"/>
      <c r="C28" s="108"/>
      <c r="D28" s="109">
        <f>SUM(D29:D36)</f>
        <v>9529672</v>
      </c>
      <c r="E28" s="39" t="e">
        <f>#REF!+#REF!</f>
        <v>#REF!</v>
      </c>
      <c r="F28" s="288">
        <f>(I28*11.2/12)</f>
        <v>8194835.599999999</v>
      </c>
      <c r="G28" s="85">
        <f>SUM(G29:G36)</f>
        <v>3730181</v>
      </c>
      <c r="H28" s="85">
        <f>SUM(H29:H36)</f>
        <v>5050000</v>
      </c>
      <c r="I28" s="39">
        <f>G28+H28</f>
        <v>8780181</v>
      </c>
      <c r="J28" s="41">
        <f>(D28-F28)/F28</f>
        <v>0.16288751418027245</v>
      </c>
      <c r="K28" s="42"/>
    </row>
    <row r="29" spans="1:10" ht="12.75">
      <c r="A29" s="87" t="s">
        <v>31</v>
      </c>
      <c r="B29" s="88"/>
      <c r="C29" s="89"/>
      <c r="D29" s="81">
        <f>176132+1212000</f>
        <v>1388132</v>
      </c>
      <c r="E29" s="39" t="e">
        <f>#REF!+#REF!</f>
        <v>#REF!</v>
      </c>
      <c r="F29" s="289"/>
      <c r="G29" s="47">
        <v>915057</v>
      </c>
      <c r="H29" s="90">
        <v>270000</v>
      </c>
      <c r="I29" s="110">
        <f>G29+H29</f>
        <v>1185057</v>
      </c>
      <c r="J29" s="1"/>
    </row>
    <row r="30" spans="1:10" ht="0" customHeight="1" hidden="1">
      <c r="A30" s="1"/>
      <c r="B30" s="1"/>
      <c r="C30" s="1"/>
      <c r="D30" s="111"/>
      <c r="E30" s="2"/>
      <c r="F30" s="2"/>
      <c r="G30" s="2"/>
      <c r="H30" s="2"/>
      <c r="I30" s="112"/>
      <c r="J30" s="1"/>
    </row>
    <row r="31" spans="1:10" ht="12.75" hidden="1">
      <c r="A31" s="1"/>
      <c r="B31" s="1"/>
      <c r="C31" s="1"/>
      <c r="D31" s="111"/>
      <c r="E31" s="2"/>
      <c r="F31" s="2"/>
      <c r="G31" s="2"/>
      <c r="H31" s="2"/>
      <c r="I31" s="112"/>
      <c r="J31" s="1"/>
    </row>
    <row r="32" spans="1:10" ht="0" customHeight="1" hidden="1">
      <c r="A32" s="1"/>
      <c r="B32" s="1"/>
      <c r="C32" s="1"/>
      <c r="D32" s="111"/>
      <c r="E32" s="2"/>
      <c r="F32" s="2"/>
      <c r="G32" s="2"/>
      <c r="H32" s="2"/>
      <c r="I32" s="112"/>
      <c r="J32" s="1"/>
    </row>
    <row r="33" spans="1:10" ht="12.75">
      <c r="A33" s="113" t="s">
        <v>32</v>
      </c>
      <c r="B33" s="70"/>
      <c r="C33" s="71"/>
      <c r="D33" s="54">
        <v>6488770</v>
      </c>
      <c r="E33" s="39" t="e">
        <f>#REF!+#REF!</f>
        <v>#REF!</v>
      </c>
      <c r="F33" s="288"/>
      <c r="G33" s="72">
        <v>2815124</v>
      </c>
      <c r="H33" s="73">
        <v>200000</v>
      </c>
      <c r="I33" s="39">
        <f>G33+H33</f>
        <v>3015124</v>
      </c>
      <c r="J33" s="1"/>
    </row>
    <row r="34" spans="1:10" ht="12.75">
      <c r="A34" s="114" t="s">
        <v>22</v>
      </c>
      <c r="B34" s="70"/>
      <c r="C34" s="71"/>
      <c r="D34" s="54"/>
      <c r="E34" s="39" t="e">
        <f>#REF!+#REF!</f>
        <v>#REF!</v>
      </c>
      <c r="F34" s="288"/>
      <c r="G34" s="72"/>
      <c r="H34" s="73">
        <v>3700000</v>
      </c>
      <c r="I34" s="39">
        <f>G34+H34</f>
        <v>3700000</v>
      </c>
      <c r="J34" s="1"/>
    </row>
    <row r="35" spans="1:10" ht="12.75">
      <c r="A35" s="113" t="s">
        <v>33</v>
      </c>
      <c r="B35" s="70"/>
      <c r="C35" s="71"/>
      <c r="D35" s="54">
        <v>1652770</v>
      </c>
      <c r="E35" s="39" t="e">
        <f>#REF!+#REF!</f>
        <v>#REF!</v>
      </c>
      <c r="F35" s="288"/>
      <c r="G35" s="72"/>
      <c r="H35" s="73">
        <v>700000</v>
      </c>
      <c r="I35" s="39">
        <f>G35+H35</f>
        <v>700000</v>
      </c>
      <c r="J35" s="1"/>
    </row>
    <row r="36" spans="1:10" ht="12.75">
      <c r="A36" s="114" t="s">
        <v>22</v>
      </c>
      <c r="B36" s="70"/>
      <c r="C36" s="71"/>
      <c r="D36" s="116"/>
      <c r="E36" s="117" t="e">
        <f>#REF!+#REF!</f>
        <v>#REF!</v>
      </c>
      <c r="F36" s="288"/>
      <c r="G36" s="72"/>
      <c r="H36" s="73">
        <v>180000</v>
      </c>
      <c r="I36" s="39">
        <f>G36+H36</f>
        <v>180000</v>
      </c>
      <c r="J36" s="1"/>
    </row>
    <row r="37" spans="1:10" ht="0" customHeight="1" hidden="1">
      <c r="A37" s="1"/>
      <c r="B37" s="1"/>
      <c r="C37" s="1"/>
      <c r="D37" s="118"/>
      <c r="E37" s="2"/>
      <c r="F37" s="2"/>
      <c r="G37" s="2"/>
      <c r="H37" s="2"/>
      <c r="I37" s="112"/>
      <c r="J37" s="1"/>
    </row>
    <row r="38" spans="1:10" ht="0" customHeight="1" hidden="1">
      <c r="A38" s="1"/>
      <c r="B38" s="1"/>
      <c r="C38" s="1"/>
      <c r="D38" s="118"/>
      <c r="E38" s="2"/>
      <c r="F38" s="2"/>
      <c r="G38" s="2"/>
      <c r="H38" s="2"/>
      <c r="I38" s="112"/>
      <c r="J38" s="1"/>
    </row>
    <row r="39" spans="1:10" ht="12.75" hidden="1">
      <c r="A39" s="1"/>
      <c r="B39" s="1"/>
      <c r="C39" s="1"/>
      <c r="D39" s="118"/>
      <c r="E39" s="2"/>
      <c r="F39" s="2"/>
      <c r="G39" s="2"/>
      <c r="H39" s="2"/>
      <c r="I39" s="112"/>
      <c r="J39" s="1"/>
    </row>
    <row r="40" spans="1:10" ht="13.5" thickBot="1">
      <c r="A40" s="1"/>
      <c r="B40" s="1"/>
      <c r="C40" s="1"/>
      <c r="D40" s="119"/>
      <c r="E40" s="2"/>
      <c r="F40" s="2"/>
      <c r="G40" s="2"/>
      <c r="H40" s="2"/>
      <c r="I40" s="112"/>
      <c r="J40" s="1"/>
    </row>
    <row r="41" spans="1:10" ht="12.75">
      <c r="A41" s="87"/>
      <c r="B41" s="88"/>
      <c r="C41" s="89"/>
      <c r="D41" s="121"/>
      <c r="E41" s="120"/>
      <c r="F41" s="291"/>
      <c r="G41" s="47"/>
      <c r="H41" s="48"/>
      <c r="I41" s="122"/>
      <c r="J41" s="1"/>
    </row>
    <row r="42" spans="1:10" s="42" customFormat="1" ht="16.5" customHeight="1" thickBot="1">
      <c r="A42" s="34" t="s">
        <v>34</v>
      </c>
      <c r="B42" s="123"/>
      <c r="C42" s="124"/>
      <c r="D42" s="109">
        <f>SUM(D43:D48)</f>
        <v>6139760</v>
      </c>
      <c r="E42" s="39" t="e">
        <f>#REF!+#REF!</f>
        <v>#REF!</v>
      </c>
      <c r="F42" s="288">
        <f>(I42*11.2/12)</f>
        <v>5286835.866666666</v>
      </c>
      <c r="G42" s="126">
        <f>SUM(G43:G50)</f>
        <v>3968467</v>
      </c>
      <c r="H42" s="126">
        <f>SUM(H43:H50)</f>
        <v>1696000</v>
      </c>
      <c r="I42" s="39">
        <f aca="true" t="shared" si="2" ref="I42:I48">G42+H42</f>
        <v>5664467</v>
      </c>
      <c r="J42" s="41">
        <f>(D42-F42)/F42</f>
        <v>0.1613297924966791</v>
      </c>
    </row>
    <row r="43" spans="1:10" ht="12.75">
      <c r="A43" s="87" t="s">
        <v>35</v>
      </c>
      <c r="B43" s="88"/>
      <c r="C43" s="89"/>
      <c r="D43" s="81">
        <v>615307</v>
      </c>
      <c r="E43" s="39" t="e">
        <f>#REF!+#REF!</f>
        <v>#REF!</v>
      </c>
      <c r="F43" s="289"/>
      <c r="G43" s="47">
        <v>664835</v>
      </c>
      <c r="H43" s="127">
        <v>126000</v>
      </c>
      <c r="I43" s="49">
        <f t="shared" si="2"/>
        <v>790835</v>
      </c>
      <c r="J43" s="1"/>
    </row>
    <row r="44" spans="1:10" ht="12.75">
      <c r="A44" s="51" t="s">
        <v>36</v>
      </c>
      <c r="B44" s="65"/>
      <c r="C44" s="66"/>
      <c r="D44" s="54">
        <f>4117012-150886</f>
        <v>3966126</v>
      </c>
      <c r="E44" s="39" t="e">
        <f>#REF!+#REF!</f>
        <v>#REF!</v>
      </c>
      <c r="F44" s="288"/>
      <c r="G44" s="25">
        <v>1625650</v>
      </c>
      <c r="H44" s="30">
        <v>800000</v>
      </c>
      <c r="I44" s="39">
        <f t="shared" si="2"/>
        <v>2425650</v>
      </c>
      <c r="J44" s="1"/>
    </row>
    <row r="45" spans="1:10" ht="12.75">
      <c r="A45" s="128" t="s">
        <v>37</v>
      </c>
      <c r="B45" s="70"/>
      <c r="C45" s="71"/>
      <c r="D45" s="54"/>
      <c r="E45" s="39" t="e">
        <f>#REF!+#REF!</f>
        <v>#REF!</v>
      </c>
      <c r="F45" s="288"/>
      <c r="G45" s="72">
        <v>723464</v>
      </c>
      <c r="H45" s="73">
        <v>230000</v>
      </c>
      <c r="I45" s="39">
        <f t="shared" si="2"/>
        <v>953464</v>
      </c>
      <c r="J45" s="1"/>
    </row>
    <row r="46" spans="1:10" ht="12.75">
      <c r="A46" s="128" t="s">
        <v>38</v>
      </c>
      <c r="B46" s="70"/>
      <c r="C46" s="71"/>
      <c r="D46" s="54"/>
      <c r="E46" s="39" t="e">
        <f>#REF!+#REF!</f>
        <v>#REF!</v>
      </c>
      <c r="F46" s="288"/>
      <c r="G46" s="72">
        <v>174025</v>
      </c>
      <c r="H46" s="73">
        <v>60000</v>
      </c>
      <c r="I46" s="39">
        <f t="shared" si="2"/>
        <v>234025</v>
      </c>
      <c r="J46" s="1"/>
    </row>
    <row r="47" spans="1:10" ht="13.5" thickBot="1">
      <c r="A47" s="129" t="s">
        <v>39</v>
      </c>
      <c r="B47" s="96"/>
      <c r="C47" s="97"/>
      <c r="D47" s="98">
        <v>302521</v>
      </c>
      <c r="E47" s="39" t="e">
        <f>#REF!+#REF!</f>
        <v>#REF!</v>
      </c>
      <c r="F47" s="288"/>
      <c r="G47" s="62">
        <v>284251</v>
      </c>
      <c r="H47" s="63">
        <v>80000</v>
      </c>
      <c r="I47" s="64">
        <f t="shared" si="2"/>
        <v>364251</v>
      </c>
      <c r="J47" s="1"/>
    </row>
    <row r="48" spans="1:10" ht="12.75">
      <c r="A48" s="51" t="s">
        <v>40</v>
      </c>
      <c r="B48" s="70"/>
      <c r="C48" s="71"/>
      <c r="D48" s="81">
        <v>1255806</v>
      </c>
      <c r="E48" s="39" t="e">
        <f>#REF!+#REF!</f>
        <v>#REF!</v>
      </c>
      <c r="F48" s="288"/>
      <c r="G48" s="72">
        <v>496242</v>
      </c>
      <c r="H48" s="73">
        <v>400000</v>
      </c>
      <c r="I48" s="68">
        <f t="shared" si="2"/>
        <v>896242</v>
      </c>
      <c r="J48" s="1"/>
    </row>
    <row r="49" spans="1:10" ht="12.75">
      <c r="A49" s="1"/>
      <c r="B49" s="1"/>
      <c r="C49" s="1"/>
      <c r="D49" s="118"/>
      <c r="E49" s="1"/>
      <c r="F49" s="1"/>
      <c r="G49" s="1"/>
      <c r="H49" s="1"/>
      <c r="I49" s="130"/>
      <c r="J49" s="1"/>
    </row>
    <row r="50" spans="1:10" ht="12.75">
      <c r="A50" s="131"/>
      <c r="B50" s="132"/>
      <c r="C50" s="133"/>
      <c r="D50" s="135"/>
      <c r="E50" s="136"/>
      <c r="F50" s="136"/>
      <c r="G50" s="78"/>
      <c r="H50" s="134"/>
      <c r="I50" s="82"/>
      <c r="J50" s="1"/>
    </row>
    <row r="51" spans="1:11" s="43" customFormat="1" ht="16.5" customHeight="1" thickBot="1">
      <c r="A51" s="34" t="s">
        <v>41</v>
      </c>
      <c r="B51" s="123"/>
      <c r="C51" s="124"/>
      <c r="D51" s="109">
        <f>SUM(D52:D56)</f>
        <v>6818281</v>
      </c>
      <c r="E51" s="39" t="e">
        <f>#REF!+#REF!</f>
        <v>#REF!</v>
      </c>
      <c r="F51" s="288">
        <f>(I51*11.2/12)</f>
        <v>5708193.866666666</v>
      </c>
      <c r="G51" s="37">
        <f>SUM(G52:G56)</f>
        <v>3295922</v>
      </c>
      <c r="H51" s="125">
        <f>SUM(H52:H56)</f>
        <v>2820000</v>
      </c>
      <c r="I51" s="39">
        <f aca="true" t="shared" si="3" ref="I51:I56">G51+H51</f>
        <v>6115922</v>
      </c>
      <c r="J51" s="41">
        <f>(D51-F51)/F51</f>
        <v>0.19447257035465332</v>
      </c>
      <c r="K51" s="42"/>
    </row>
    <row r="52" spans="1:10" ht="12.75">
      <c r="A52" s="87" t="s">
        <v>42</v>
      </c>
      <c r="B52" s="137"/>
      <c r="C52" s="89"/>
      <c r="D52" s="94"/>
      <c r="E52" s="39" t="e">
        <f>#REF!+#REF!</f>
        <v>#REF!</v>
      </c>
      <c r="F52" s="289"/>
      <c r="G52" s="47">
        <v>1444816</v>
      </c>
      <c r="H52" s="48">
        <v>400000</v>
      </c>
      <c r="I52" s="49">
        <f t="shared" si="3"/>
        <v>1844816</v>
      </c>
      <c r="J52" s="1"/>
    </row>
    <row r="53" spans="1:10" ht="12.75">
      <c r="A53" s="51" t="s">
        <v>41</v>
      </c>
      <c r="B53" s="23"/>
      <c r="C53" s="66"/>
      <c r="D53" s="55">
        <f>9394689-475678-825572-615307-362000-1335356-670461-836473-825561-166208-850000+1335356</f>
        <v>3767429</v>
      </c>
      <c r="E53" s="39" t="e">
        <f>#REF!+#REF!</f>
        <v>#REF!</v>
      </c>
      <c r="F53" s="288"/>
      <c r="G53" s="25">
        <v>702688</v>
      </c>
      <c r="H53" s="26">
        <v>400000</v>
      </c>
      <c r="I53" s="39">
        <f t="shared" si="3"/>
        <v>1102688</v>
      </c>
      <c r="J53" s="1"/>
    </row>
    <row r="54" spans="1:10" ht="12.75">
      <c r="A54" s="51" t="s">
        <v>43</v>
      </c>
      <c r="B54" s="23"/>
      <c r="C54" s="66"/>
      <c r="D54" s="55">
        <v>1147165</v>
      </c>
      <c r="E54" s="39" t="e">
        <f>#REF!+#REF!</f>
        <v>#REF!</v>
      </c>
      <c r="F54" s="288"/>
      <c r="G54" s="25"/>
      <c r="H54" s="26">
        <v>1500000</v>
      </c>
      <c r="I54" s="39">
        <f t="shared" si="3"/>
        <v>1500000</v>
      </c>
      <c r="J54" s="1"/>
    </row>
    <row r="55" spans="1:10" ht="12.75">
      <c r="A55" s="51" t="s">
        <v>44</v>
      </c>
      <c r="B55" s="52"/>
      <c r="C55" s="53"/>
      <c r="D55" s="55">
        <v>1752801</v>
      </c>
      <c r="E55" s="39" t="e">
        <f>#REF!+#REF!</f>
        <v>#REF!</v>
      </c>
      <c r="F55" s="115"/>
      <c r="G55" s="138">
        <v>1148418</v>
      </c>
      <c r="H55" s="28">
        <v>380000</v>
      </c>
      <c r="I55" s="39">
        <f t="shared" si="3"/>
        <v>1528418</v>
      </c>
      <c r="J55" s="1"/>
    </row>
    <row r="56" spans="1:10" ht="13.5" thickBot="1">
      <c r="A56" s="129" t="s">
        <v>45</v>
      </c>
      <c r="B56" s="139"/>
      <c r="C56" s="97"/>
      <c r="D56" s="141">
        <f>67391+9000+4198+16793+2280+500+50724</f>
        <v>150886</v>
      </c>
      <c r="E56" s="64" t="e">
        <f>#REF!+#REF!</f>
        <v>#REF!</v>
      </c>
      <c r="F56" s="292"/>
      <c r="G56" s="62"/>
      <c r="H56" s="140">
        <v>140000</v>
      </c>
      <c r="I56" s="64">
        <f t="shared" si="3"/>
        <v>140000</v>
      </c>
      <c r="J56" s="1"/>
    </row>
    <row r="57" spans="1:10" ht="12.75">
      <c r="A57" s="99"/>
      <c r="B57" s="100"/>
      <c r="C57" s="101"/>
      <c r="D57" s="105"/>
      <c r="E57" s="104"/>
      <c r="F57" s="290"/>
      <c r="G57" s="102"/>
      <c r="H57" s="103"/>
      <c r="I57" s="106"/>
      <c r="J57" s="1"/>
    </row>
    <row r="58" spans="1:11" s="43" customFormat="1" ht="16.5" customHeight="1" thickBot="1">
      <c r="A58" s="34" t="s">
        <v>46</v>
      </c>
      <c r="B58" s="142">
        <f>SUM(B59:B80)</f>
        <v>0</v>
      </c>
      <c r="C58" s="142">
        <f>SUM(C59:C80)</f>
        <v>0</v>
      </c>
      <c r="D58" s="109">
        <f>SUM(D59:D71)</f>
        <v>7274465</v>
      </c>
      <c r="E58" s="39" t="e">
        <f>#REF!+#REF!</f>
        <v>#REF!</v>
      </c>
      <c r="F58" s="288">
        <f>(I58*11.2/12)</f>
        <v>7302089.199999999</v>
      </c>
      <c r="G58" s="86">
        <f>SUM(G59:G73)</f>
        <v>5018667</v>
      </c>
      <c r="H58" s="86">
        <f>SUM(H59:H73)</f>
        <v>2805000</v>
      </c>
      <c r="I58" s="39">
        <f>G58+H58</f>
        <v>7823667</v>
      </c>
      <c r="J58" s="41">
        <f>(D58-F58)/F58</f>
        <v>-0.0037830543072521297</v>
      </c>
      <c r="K58" s="42"/>
    </row>
    <row r="59" spans="1:10" ht="12" customHeight="1">
      <c r="A59" s="87" t="s">
        <v>47</v>
      </c>
      <c r="B59" s="137"/>
      <c r="C59" s="89"/>
      <c r="D59" s="81">
        <f>304123+825572</f>
        <v>1129695</v>
      </c>
      <c r="E59" s="39" t="e">
        <f>#REF!+#REF!</f>
        <v>#REF!</v>
      </c>
      <c r="F59" s="289"/>
      <c r="G59" s="47">
        <f>188878+894200</f>
        <v>1083078</v>
      </c>
      <c r="H59" s="90">
        <v>100000</v>
      </c>
      <c r="I59" s="110">
        <f aca="true" t="shared" si="4" ref="I59:I71">G59+H59</f>
        <v>1183078</v>
      </c>
      <c r="J59" s="1"/>
    </row>
    <row r="60" spans="1:10" ht="12.75" hidden="1">
      <c r="A60" s="1"/>
      <c r="B60" s="1"/>
      <c r="C60" s="1"/>
      <c r="D60" s="111"/>
      <c r="E60" s="2"/>
      <c r="F60" s="2"/>
      <c r="G60" s="2"/>
      <c r="H60" s="2"/>
      <c r="I60" s="112"/>
      <c r="J60" s="1"/>
    </row>
    <row r="61" spans="1:10" ht="12.75">
      <c r="A61" s="128" t="s">
        <v>48</v>
      </c>
      <c r="B61" s="143"/>
      <c r="C61" s="71"/>
      <c r="D61" s="54">
        <v>427148</v>
      </c>
      <c r="E61" s="39" t="e">
        <f>#REF!+#REF!</f>
        <v>#REF!</v>
      </c>
      <c r="F61" s="288"/>
      <c r="G61" s="72"/>
      <c r="H61" s="73">
        <v>460000</v>
      </c>
      <c r="I61" s="39">
        <f t="shared" si="4"/>
        <v>460000</v>
      </c>
      <c r="J61" s="1"/>
    </row>
    <row r="62" spans="1:10" ht="12.75" customHeight="1">
      <c r="A62" s="56" t="s">
        <v>49</v>
      </c>
      <c r="B62" s="23"/>
      <c r="C62" s="66"/>
      <c r="D62" s="54">
        <v>27500</v>
      </c>
      <c r="E62" s="39" t="e">
        <f>#REF!+#REF!</f>
        <v>#REF!</v>
      </c>
      <c r="F62" s="288"/>
      <c r="G62" s="25"/>
      <c r="H62" s="30">
        <v>80000</v>
      </c>
      <c r="I62" s="39">
        <f t="shared" si="4"/>
        <v>80000</v>
      </c>
      <c r="J62" s="1"/>
    </row>
    <row r="63" spans="1:10" ht="12.75" customHeight="1">
      <c r="A63" s="56" t="s">
        <v>50</v>
      </c>
      <c r="B63" s="23"/>
      <c r="C63" s="66"/>
      <c r="D63" s="54">
        <v>510361</v>
      </c>
      <c r="E63" s="39" t="e">
        <f>#REF!+#REF!</f>
        <v>#REF!</v>
      </c>
      <c r="F63" s="288"/>
      <c r="G63" s="25"/>
      <c r="H63" s="30">
        <v>250000</v>
      </c>
      <c r="I63" s="39">
        <f t="shared" si="4"/>
        <v>250000</v>
      </c>
      <c r="J63" s="1"/>
    </row>
    <row r="64" spans="1:10" ht="12.75" customHeight="1">
      <c r="A64" s="56" t="s">
        <v>51</v>
      </c>
      <c r="B64" s="23"/>
      <c r="C64" s="66"/>
      <c r="D64" s="54">
        <v>29600</v>
      </c>
      <c r="E64" s="39" t="e">
        <f>#REF!+#REF!</f>
        <v>#REF!</v>
      </c>
      <c r="F64" s="288"/>
      <c r="G64" s="25"/>
      <c r="H64" s="30">
        <v>25000</v>
      </c>
      <c r="I64" s="39">
        <f t="shared" si="4"/>
        <v>25000</v>
      </c>
      <c r="J64" s="1"/>
    </row>
    <row r="65" spans="1:10" ht="12.75" customHeight="1">
      <c r="A65" s="56" t="s">
        <v>52</v>
      </c>
      <c r="B65" s="23"/>
      <c r="C65" s="66"/>
      <c r="D65" s="54">
        <v>49160</v>
      </c>
      <c r="E65" s="39" t="e">
        <f>#REF!+#REF!</f>
        <v>#REF!</v>
      </c>
      <c r="F65" s="288"/>
      <c r="G65" s="25"/>
      <c r="H65" s="30">
        <v>50000</v>
      </c>
      <c r="I65" s="39">
        <f t="shared" si="4"/>
        <v>50000</v>
      </c>
      <c r="J65" s="1"/>
    </row>
    <row r="66" spans="1:10" ht="12.75">
      <c r="A66" s="144" t="s">
        <v>53</v>
      </c>
      <c r="B66" s="145"/>
      <c r="C66" s="145"/>
      <c r="D66" s="54"/>
      <c r="E66" s="39" t="e">
        <f>#REF!+#REF!</f>
        <v>#REF!</v>
      </c>
      <c r="F66" s="115"/>
      <c r="G66" s="146"/>
      <c r="H66" s="30">
        <v>150000</v>
      </c>
      <c r="I66" s="39">
        <f t="shared" si="4"/>
        <v>150000</v>
      </c>
      <c r="J66" s="1"/>
    </row>
    <row r="67" spans="1:10" ht="12.75">
      <c r="A67" s="147" t="s">
        <v>54</v>
      </c>
      <c r="B67" s="65"/>
      <c r="C67" s="24"/>
      <c r="D67" s="54">
        <v>3367433</v>
      </c>
      <c r="E67" s="39" t="e">
        <f>#REF!+#REF!</f>
        <v>#REF!</v>
      </c>
      <c r="F67" s="115"/>
      <c r="G67" s="148">
        <f>1846852+360000</f>
        <v>2206852</v>
      </c>
      <c r="H67" s="30">
        <v>200000</v>
      </c>
      <c r="I67" s="39">
        <f t="shared" si="4"/>
        <v>2406852</v>
      </c>
      <c r="J67" s="1"/>
    </row>
    <row r="68" spans="1:10" ht="12.75">
      <c r="A68" s="51" t="s">
        <v>55</v>
      </c>
      <c r="B68" s="65"/>
      <c r="C68" s="66"/>
      <c r="D68" s="54"/>
      <c r="E68" s="39" t="e">
        <f>#REF!+#REF!</f>
        <v>#REF!</v>
      </c>
      <c r="F68" s="288"/>
      <c r="G68" s="25"/>
      <c r="H68" s="30">
        <v>1050000</v>
      </c>
      <c r="I68" s="39">
        <f t="shared" si="4"/>
        <v>1050000</v>
      </c>
      <c r="J68" s="1"/>
    </row>
    <row r="69" spans="1:10" ht="12.75">
      <c r="A69" s="56" t="s">
        <v>56</v>
      </c>
      <c r="B69" s="65"/>
      <c r="C69" s="66"/>
      <c r="D69" s="54">
        <f>1733568-3301-415</f>
        <v>1729852</v>
      </c>
      <c r="E69" s="39" t="e">
        <f>#REF!+#REF!</f>
        <v>#REF!</v>
      </c>
      <c r="F69" s="288"/>
      <c r="G69" s="25">
        <v>1728737</v>
      </c>
      <c r="H69" s="30">
        <v>160000</v>
      </c>
      <c r="I69" s="39">
        <f t="shared" si="4"/>
        <v>1888737</v>
      </c>
      <c r="J69" s="1"/>
    </row>
    <row r="70" spans="1:10" ht="12.75" customHeight="1">
      <c r="A70" s="56" t="s">
        <v>57</v>
      </c>
      <c r="B70" s="65"/>
      <c r="C70" s="66"/>
      <c r="D70" s="54">
        <v>415</v>
      </c>
      <c r="E70" s="39" t="e">
        <f>#REF!+#REF!</f>
        <v>#REF!</v>
      </c>
      <c r="F70" s="288"/>
      <c r="G70" s="25"/>
      <c r="H70" s="30">
        <v>30000</v>
      </c>
      <c r="I70" s="39">
        <f t="shared" si="4"/>
        <v>30000</v>
      </c>
      <c r="J70" s="1"/>
    </row>
    <row r="71" spans="1:10" ht="12.75" customHeight="1" thickBot="1">
      <c r="A71" s="56" t="s">
        <v>58</v>
      </c>
      <c r="B71" s="65"/>
      <c r="C71" s="66"/>
      <c r="D71" s="149">
        <v>3301</v>
      </c>
      <c r="E71" s="64" t="e">
        <f>#REF!+#REF!</f>
        <v>#REF!</v>
      </c>
      <c r="F71" s="292"/>
      <c r="G71" s="62"/>
      <c r="H71" s="63">
        <v>250000</v>
      </c>
      <c r="I71" s="64">
        <f t="shared" si="4"/>
        <v>250000</v>
      </c>
      <c r="J71" s="1"/>
    </row>
    <row r="72" spans="1:10" ht="0" customHeight="1" hidden="1">
      <c r="A72" s="1"/>
      <c r="B72" s="1"/>
      <c r="C72" s="1"/>
      <c r="D72" s="111"/>
      <c r="E72" s="2"/>
      <c r="F72" s="2"/>
      <c r="G72" s="2"/>
      <c r="H72" s="2"/>
      <c r="I72" s="112"/>
      <c r="J72" s="1"/>
    </row>
    <row r="73" spans="1:10" ht="12.75" hidden="1">
      <c r="A73" s="1"/>
      <c r="B73" s="1"/>
      <c r="C73" s="1"/>
      <c r="D73" s="111"/>
      <c r="E73" s="2"/>
      <c r="F73" s="2"/>
      <c r="G73" s="2"/>
      <c r="H73" s="2"/>
      <c r="I73" s="112"/>
      <c r="J73" s="1"/>
    </row>
    <row r="74" spans="1:10" ht="12.75" customHeight="1">
      <c r="A74" s="75"/>
      <c r="B74" s="132"/>
      <c r="C74" s="133"/>
      <c r="D74" s="81"/>
      <c r="E74" s="150"/>
      <c r="F74" s="289"/>
      <c r="G74" s="78"/>
      <c r="H74" s="79"/>
      <c r="I74" s="151"/>
      <c r="J74" s="1"/>
    </row>
    <row r="75" spans="1:10" ht="12.75" customHeight="1" thickBot="1">
      <c r="A75" s="152" t="s">
        <v>59</v>
      </c>
      <c r="B75" s="132"/>
      <c r="C75" s="133"/>
      <c r="D75" s="109">
        <f>SUM(D76:D78)</f>
        <v>14121403</v>
      </c>
      <c r="E75" s="39" t="e">
        <f>#REF!+#REF!</f>
        <v>#REF!</v>
      </c>
      <c r="F75" s="288">
        <f>(I75*11.2/12)</f>
        <v>13198661.466666667</v>
      </c>
      <c r="G75" s="153">
        <f>SUM(G76:G78)</f>
        <v>5521423</v>
      </c>
      <c r="H75" s="154">
        <f>SUM(H76:H78)</f>
        <v>8620000</v>
      </c>
      <c r="I75" s="39">
        <f>G75+H75</f>
        <v>14141423</v>
      </c>
      <c r="J75" s="41">
        <f>(D75-F75)/F75</f>
        <v>0.06991175095017968</v>
      </c>
    </row>
    <row r="76" spans="1:10" ht="12.75">
      <c r="A76" s="131" t="s">
        <v>60</v>
      </c>
      <c r="B76" s="155"/>
      <c r="C76" s="133"/>
      <c r="D76" s="81">
        <f>80843+825561</f>
        <v>906404</v>
      </c>
      <c r="E76" s="39" t="e">
        <f>#REF!+#REF!</f>
        <v>#REF!</v>
      </c>
      <c r="F76" s="289"/>
      <c r="G76" s="47">
        <f>188878+894200</f>
        <v>1083078</v>
      </c>
      <c r="H76" s="79">
        <v>120000</v>
      </c>
      <c r="I76" s="49">
        <f>G76+H76</f>
        <v>1203078</v>
      </c>
      <c r="J76" s="1"/>
    </row>
    <row r="77" spans="1:10" ht="12.75">
      <c r="A77" s="113" t="s">
        <v>61</v>
      </c>
      <c r="B77" s="70"/>
      <c r="C77" s="71"/>
      <c r="D77" s="54">
        <f>15176074-178809-80843-1701423</f>
        <v>13214999</v>
      </c>
      <c r="E77" s="39" t="e">
        <f>#REF!+#REF!</f>
        <v>#REF!</v>
      </c>
      <c r="F77" s="288"/>
      <c r="G77" s="72">
        <f>3964945+473400</f>
        <v>4438345</v>
      </c>
      <c r="H77" s="73">
        <v>1500000</v>
      </c>
      <c r="I77" s="39">
        <f>G77+H77</f>
        <v>5938345</v>
      </c>
      <c r="J77" s="1"/>
    </row>
    <row r="78" spans="1:10" ht="12.75">
      <c r="A78" s="113" t="s">
        <v>62</v>
      </c>
      <c r="B78" s="70"/>
      <c r="C78" s="71"/>
      <c r="D78" s="54"/>
      <c r="E78" s="39" t="e">
        <f>#REF!+#REF!</f>
        <v>#REF!</v>
      </c>
      <c r="F78" s="288"/>
      <c r="G78" s="72"/>
      <c r="H78" s="73">
        <v>7000000</v>
      </c>
      <c r="I78" s="39">
        <f>G78+H78</f>
        <v>7000000</v>
      </c>
      <c r="J78" s="1"/>
    </row>
    <row r="79" spans="1:10" ht="12.75" customHeight="1">
      <c r="A79" s="75"/>
      <c r="B79" s="132"/>
      <c r="C79" s="133"/>
      <c r="D79" s="81"/>
      <c r="E79" s="150"/>
      <c r="F79" s="289"/>
      <c r="G79" s="78"/>
      <c r="H79" s="79"/>
      <c r="I79" s="68"/>
      <c r="J79" s="1"/>
    </row>
    <row r="80" spans="1:10" ht="0" customHeight="1" hidden="1">
      <c r="A80" s="99"/>
      <c r="B80" s="100"/>
      <c r="C80" s="101"/>
      <c r="D80" s="105"/>
      <c r="E80" s="104"/>
      <c r="F80" s="290"/>
      <c r="G80" s="102"/>
      <c r="H80" s="103"/>
      <c r="I80" s="106"/>
      <c r="J80" s="1"/>
    </row>
    <row r="81" spans="1:11" s="43" customFormat="1" ht="16.5" customHeight="1" thickBot="1">
      <c r="A81" s="34" t="s">
        <v>63</v>
      </c>
      <c r="B81" s="123"/>
      <c r="C81" s="124"/>
      <c r="D81" s="109">
        <f>SUM(D82:D85)</f>
        <v>5749923</v>
      </c>
      <c r="E81" s="64" t="e">
        <f>#REF!+#REF!</f>
        <v>#REF!</v>
      </c>
      <c r="F81" s="288">
        <f>(I81*11.2/12)</f>
        <v>5510037.866666666</v>
      </c>
      <c r="G81" s="37">
        <f>SUM(G82:G85)</f>
        <v>3283612</v>
      </c>
      <c r="H81" s="126">
        <f>SUM(H82:H85)</f>
        <v>2620000</v>
      </c>
      <c r="I81" s="64">
        <f>G81+H81</f>
        <v>5903612</v>
      </c>
      <c r="J81" s="41">
        <f>(D81-F81)/F81</f>
        <v>0.04353602264415178</v>
      </c>
      <c r="K81" s="42"/>
    </row>
    <row r="82" spans="1:10" ht="12.75">
      <c r="A82" s="44" t="s">
        <v>64</v>
      </c>
      <c r="B82" s="88"/>
      <c r="C82" s="89"/>
      <c r="D82" s="94">
        <v>97129</v>
      </c>
      <c r="E82" s="68" t="e">
        <f>#REF!+#REF!</f>
        <v>#REF!</v>
      </c>
      <c r="F82" s="289"/>
      <c r="G82" s="47"/>
      <c r="H82" s="103">
        <v>120000</v>
      </c>
      <c r="I82" s="68">
        <f>G82+H82</f>
        <v>120000</v>
      </c>
      <c r="J82" s="1"/>
    </row>
    <row r="83" spans="1:10" ht="12.75">
      <c r="A83" s="56" t="s">
        <v>65</v>
      </c>
      <c r="B83" s="65"/>
      <c r="C83" s="66"/>
      <c r="D83" s="55">
        <f>11279948-29834-283201-44098-97129-1029004-330106-5202726</f>
        <v>4263850</v>
      </c>
      <c r="E83" s="39" t="e">
        <f>#REF!+#REF!</f>
        <v>#REF!</v>
      </c>
      <c r="F83" s="288"/>
      <c r="G83" s="25">
        <v>3283612</v>
      </c>
      <c r="H83" s="26">
        <v>1000000</v>
      </c>
      <c r="I83" s="39">
        <f>G83+H83</f>
        <v>4283612</v>
      </c>
      <c r="J83" s="1"/>
    </row>
    <row r="84" spans="1:10" ht="12.75" customHeight="1">
      <c r="A84" s="56" t="s">
        <v>66</v>
      </c>
      <c r="B84" s="65"/>
      <c r="C84" s="66"/>
      <c r="D84" s="55">
        <v>29834</v>
      </c>
      <c r="E84" s="39" t="e">
        <f>#REF!+#REF!</f>
        <v>#REF!</v>
      </c>
      <c r="F84" s="288"/>
      <c r="G84" s="25"/>
      <c r="H84" s="26">
        <v>300000</v>
      </c>
      <c r="I84" s="39">
        <f>G84+H84</f>
        <v>300000</v>
      </c>
      <c r="J84" s="1"/>
    </row>
    <row r="85" spans="1:10" ht="13.5" thickBot="1">
      <c r="A85" s="59" t="s">
        <v>67</v>
      </c>
      <c r="B85" s="96"/>
      <c r="C85" s="97"/>
      <c r="D85" s="55">
        <f>1029004+330106</f>
        <v>1359110</v>
      </c>
      <c r="E85" s="39" t="e">
        <f>#REF!+#REF!</f>
        <v>#REF!</v>
      </c>
      <c r="F85" s="288"/>
      <c r="G85" s="62"/>
      <c r="H85" s="140">
        <v>1200000</v>
      </c>
      <c r="I85" s="39">
        <f>G85+H85</f>
        <v>1200000</v>
      </c>
      <c r="J85" s="1"/>
    </row>
    <row r="86" spans="1:10" ht="12.75">
      <c r="A86" s="44"/>
      <c r="B86" s="88"/>
      <c r="C86" s="89"/>
      <c r="D86" s="121"/>
      <c r="E86" s="120"/>
      <c r="F86" s="291"/>
      <c r="G86" s="47"/>
      <c r="H86" s="48"/>
      <c r="I86" s="122"/>
      <c r="J86" s="1"/>
    </row>
    <row r="87" spans="1:10" s="43" customFormat="1" ht="16.5" customHeight="1" thickBot="1">
      <c r="A87" s="34" t="s">
        <v>68</v>
      </c>
      <c r="B87" s="123"/>
      <c r="C87" s="124"/>
      <c r="D87" s="109">
        <f>SUM(D88:D89)</f>
        <v>1631717</v>
      </c>
      <c r="E87" s="64" t="e">
        <f>#REF!+#REF!</f>
        <v>#REF!</v>
      </c>
      <c r="F87" s="288">
        <f>(I87*11.2/12)</f>
        <v>1691273.6885333331</v>
      </c>
      <c r="G87" s="37">
        <f>SUM(G88:G89)</f>
        <v>1492078.952</v>
      </c>
      <c r="H87" s="126">
        <f>SUM(H88:H89)</f>
        <v>320000</v>
      </c>
      <c r="I87" s="64">
        <f>G87+H87</f>
        <v>1812078.952</v>
      </c>
      <c r="J87" s="41">
        <f>(D87-F87)/F87</f>
        <v>-0.035214104575221346</v>
      </c>
    </row>
    <row r="88" spans="1:10" s="43" customFormat="1" ht="12.75" customHeight="1">
      <c r="A88" s="44" t="s">
        <v>69</v>
      </c>
      <c r="B88" s="156"/>
      <c r="C88" s="157"/>
      <c r="D88" s="81">
        <v>1631717</v>
      </c>
      <c r="E88" s="68" t="e">
        <f>#REF!+#REF!</f>
        <v>#REF!</v>
      </c>
      <c r="F88" s="289"/>
      <c r="G88" s="47">
        <f>1418326*1.052</f>
        <v>1492078.952</v>
      </c>
      <c r="H88" s="127">
        <v>320000</v>
      </c>
      <c r="I88" s="68">
        <f>G88+H88</f>
        <v>1812078.952</v>
      </c>
      <c r="J88" s="158"/>
    </row>
    <row r="89" spans="1:10" s="43" customFormat="1" ht="12.75" customHeight="1" thickBot="1">
      <c r="A89" s="159" t="s">
        <v>70</v>
      </c>
      <c r="B89" s="160"/>
      <c r="C89" s="161"/>
      <c r="D89" s="164"/>
      <c r="E89" s="39" t="e">
        <f>#REF!+#REF!</f>
        <v>#REF!</v>
      </c>
      <c r="F89" s="289"/>
      <c r="G89" s="162"/>
      <c r="H89" s="163">
        <v>0</v>
      </c>
      <c r="I89" s="64">
        <f>G89+H89</f>
        <v>0</v>
      </c>
      <c r="J89" s="158"/>
    </row>
    <row r="90" spans="1:10" ht="12.75" customHeight="1">
      <c r="A90" s="165"/>
      <c r="B90" s="100"/>
      <c r="C90" s="101"/>
      <c r="D90" s="105"/>
      <c r="E90" s="104"/>
      <c r="F90" s="290"/>
      <c r="G90" s="102"/>
      <c r="H90" s="103"/>
      <c r="I90" s="106"/>
      <c r="J90" s="1"/>
    </row>
    <row r="91" spans="1:11" s="43" customFormat="1" ht="16.5" customHeight="1" thickBot="1">
      <c r="A91" s="34" t="s">
        <v>71</v>
      </c>
      <c r="B91" s="123"/>
      <c r="C91" s="124"/>
      <c r="D91" s="109">
        <f>SUM(D92:D93)</f>
        <v>697884</v>
      </c>
      <c r="E91" s="39" t="e">
        <f>#REF!+#REF!</f>
        <v>#REF!</v>
      </c>
      <c r="F91" s="288">
        <f>(I91*11.2/12)</f>
        <v>834560.5333333332</v>
      </c>
      <c r="G91" s="37">
        <f>SUM(G92:G93)</f>
        <v>621172</v>
      </c>
      <c r="H91" s="126">
        <f>SUM(H92:H93)</f>
        <v>273000</v>
      </c>
      <c r="I91" s="39">
        <f>G91+H91</f>
        <v>894172</v>
      </c>
      <c r="J91" s="41">
        <f>(D91-F91)/F91</f>
        <v>-0.16377066476823557</v>
      </c>
      <c r="K91" s="42"/>
    </row>
    <row r="92" spans="1:10" ht="12.75">
      <c r="A92" s="87" t="s">
        <v>72</v>
      </c>
      <c r="B92" s="88"/>
      <c r="C92" s="89"/>
      <c r="D92" s="94"/>
      <c r="E92" s="39" t="e">
        <f>#REF!+#REF!</f>
        <v>#REF!</v>
      </c>
      <c r="F92" s="289"/>
      <c r="G92" s="47"/>
      <c r="H92" s="103">
        <v>0</v>
      </c>
      <c r="I92" s="49">
        <f>G92+H92</f>
        <v>0</v>
      </c>
      <c r="J92" s="1"/>
    </row>
    <row r="93" spans="1:10" ht="13.5" thickBot="1">
      <c r="A93" s="129" t="s">
        <v>69</v>
      </c>
      <c r="B93" s="96"/>
      <c r="C93" s="97"/>
      <c r="D93" s="55">
        <v>697884</v>
      </c>
      <c r="E93" s="39" t="e">
        <f>#REF!+#REF!</f>
        <v>#REF!</v>
      </c>
      <c r="F93" s="288"/>
      <c r="G93" s="62">
        <v>621172</v>
      </c>
      <c r="H93" s="140">
        <v>273000</v>
      </c>
      <c r="I93" s="39">
        <f>G93+H93</f>
        <v>894172</v>
      </c>
      <c r="J93" s="1"/>
    </row>
    <row r="94" spans="1:11" s="171" customFormat="1" ht="16.5" customHeight="1" thickBot="1">
      <c r="A94" s="166" t="s">
        <v>73</v>
      </c>
      <c r="B94" s="167">
        <f>B10+B20+B28+B42+B51+B58+B81+B87+B91</f>
        <v>0</v>
      </c>
      <c r="C94" s="167">
        <f>C10+C20+C28+C42+C51+C58+C81+C87+C91</f>
        <v>0</v>
      </c>
      <c r="D94" s="169">
        <f>D10+D20+D28+D42+D51+D58+D81+D87+D91+D75</f>
        <v>68675503</v>
      </c>
      <c r="E94" s="39" t="e">
        <f>#REF!+#REF!</f>
        <v>#REF!</v>
      </c>
      <c r="F94" s="299">
        <f>(I94*11.2/12)</f>
        <v>64203113.333333336</v>
      </c>
      <c r="G94" s="168">
        <v>39960350</v>
      </c>
      <c r="H94" s="168">
        <f>H10+H20+H28+H42+H51+H58+H81+H87+H91+H75</f>
        <v>28158909</v>
      </c>
      <c r="I94" s="170">
        <v>68789050</v>
      </c>
      <c r="J94" s="41">
        <f>(D94-F94)/F94</f>
        <v>0.0696600123337736</v>
      </c>
      <c r="K94" s="308" t="s">
        <v>153</v>
      </c>
    </row>
    <row r="95" spans="1:13" s="171" customFormat="1" ht="16.5" customHeight="1">
      <c r="A95" s="172"/>
      <c r="B95" s="173"/>
      <c r="C95" s="174"/>
      <c r="D95" s="177"/>
      <c r="E95" s="175"/>
      <c r="F95" s="175"/>
      <c r="G95" s="175"/>
      <c r="H95" s="176"/>
      <c r="I95" s="178"/>
      <c r="J95" s="179"/>
      <c r="K95" s="180"/>
      <c r="M95" s="181"/>
    </row>
    <row r="96" spans="1:13" s="33" customFormat="1" ht="15">
      <c r="A96" s="29" t="s">
        <v>74</v>
      </c>
      <c r="B96" s="65"/>
      <c r="C96" s="66"/>
      <c r="D96" s="183"/>
      <c r="E96" s="182"/>
      <c r="F96" s="287"/>
      <c r="G96" s="25"/>
      <c r="H96" s="30"/>
      <c r="I96" s="27"/>
      <c r="J96" s="32"/>
      <c r="K96" s="184"/>
      <c r="M96" s="181"/>
    </row>
    <row r="97" spans="1:10" ht="12.75">
      <c r="A97" s="185" t="s">
        <v>75</v>
      </c>
      <c r="B97" s="65"/>
      <c r="C97" s="66"/>
      <c r="D97" s="183"/>
      <c r="E97" s="182"/>
      <c r="F97" s="287"/>
      <c r="G97" s="25"/>
      <c r="H97" s="186"/>
      <c r="I97" s="27"/>
      <c r="J97" s="1"/>
    </row>
    <row r="98" spans="1:10" ht="12.75">
      <c r="A98" s="185" t="s">
        <v>76</v>
      </c>
      <c r="B98" s="65"/>
      <c r="C98" s="66"/>
      <c r="D98" s="187"/>
      <c r="E98" s="182"/>
      <c r="F98" s="287"/>
      <c r="G98" s="25"/>
      <c r="H98" s="26"/>
      <c r="I98" s="27"/>
      <c r="J98" s="1"/>
    </row>
    <row r="99" spans="1:10" ht="12.75">
      <c r="A99" s="51" t="s">
        <v>77</v>
      </c>
      <c r="B99" s="65"/>
      <c r="C99" s="66"/>
      <c r="D99" s="55">
        <v>3362549</v>
      </c>
      <c r="E99" s="39" t="e">
        <f>#REF!+#REF!</f>
        <v>#REF!</v>
      </c>
      <c r="F99" s="288"/>
      <c r="G99" s="25">
        <v>3658086</v>
      </c>
      <c r="H99" s="26">
        <v>772383</v>
      </c>
      <c r="I99" s="39">
        <f aca="true" t="shared" si="5" ref="I99:I129">G99+H99</f>
        <v>4430469</v>
      </c>
      <c r="J99" s="41"/>
    </row>
    <row r="100" spans="1:15" ht="12.75">
      <c r="A100" s="51" t="s">
        <v>78</v>
      </c>
      <c r="B100" s="65"/>
      <c r="C100" s="66"/>
      <c r="D100" s="55">
        <v>2388791</v>
      </c>
      <c r="E100" s="39" t="e">
        <f>#REF!+#REF!</f>
        <v>#REF!</v>
      </c>
      <c r="F100" s="288"/>
      <c r="G100" s="25">
        <v>2082592</v>
      </c>
      <c r="H100" s="26">
        <v>400000</v>
      </c>
      <c r="I100" s="39">
        <f t="shared" si="5"/>
        <v>2482592</v>
      </c>
      <c r="J100" s="41"/>
      <c r="K100" s="42"/>
      <c r="L100" s="74"/>
      <c r="M100" s="74"/>
      <c r="N100" s="74"/>
      <c r="O100" s="74"/>
    </row>
    <row r="101" spans="1:15" ht="12.75">
      <c r="A101" s="51" t="s">
        <v>79</v>
      </c>
      <c r="B101" s="65"/>
      <c r="C101" s="66"/>
      <c r="D101" s="55">
        <v>3028946</v>
      </c>
      <c r="E101" s="39" t="e">
        <f>#REF!+#REF!</f>
        <v>#REF!</v>
      </c>
      <c r="F101" s="288"/>
      <c r="G101" s="25">
        <v>2036750</v>
      </c>
      <c r="H101" s="26">
        <v>400000</v>
      </c>
      <c r="I101" s="39">
        <f t="shared" si="5"/>
        <v>2436750</v>
      </c>
      <c r="J101" s="41"/>
      <c r="K101" s="42"/>
      <c r="L101" s="74"/>
      <c r="M101" s="74"/>
      <c r="N101" s="74"/>
      <c r="O101" s="74"/>
    </row>
    <row r="102" spans="1:15" ht="12.75">
      <c r="A102" s="51" t="s">
        <v>80</v>
      </c>
      <c r="B102" s="65"/>
      <c r="C102" s="66"/>
      <c r="D102" s="55">
        <v>2380048</v>
      </c>
      <c r="E102" s="39" t="e">
        <f>#REF!+#REF!</f>
        <v>#REF!</v>
      </c>
      <c r="F102" s="288"/>
      <c r="G102" s="25">
        <v>2349936</v>
      </c>
      <c r="H102" s="26">
        <v>439898</v>
      </c>
      <c r="I102" s="39">
        <f t="shared" si="5"/>
        <v>2789834</v>
      </c>
      <c r="J102" s="41"/>
      <c r="K102" s="42"/>
      <c r="L102" s="74"/>
      <c r="M102" s="74"/>
      <c r="N102" s="74"/>
      <c r="O102" s="74"/>
    </row>
    <row r="103" spans="1:15" ht="12.75" hidden="1">
      <c r="A103" s="56"/>
      <c r="B103" s="65"/>
      <c r="C103" s="66"/>
      <c r="D103" s="55"/>
      <c r="E103" s="39"/>
      <c r="F103" s="288"/>
      <c r="G103" s="25"/>
      <c r="H103" s="26"/>
      <c r="I103" s="39"/>
      <c r="J103" s="41"/>
      <c r="K103" s="42"/>
      <c r="L103" s="74"/>
      <c r="M103" s="74"/>
      <c r="N103" s="74"/>
      <c r="O103" s="74"/>
    </row>
    <row r="104" spans="1:15" ht="12.75">
      <c r="A104" s="51" t="s">
        <v>81</v>
      </c>
      <c r="B104" s="65"/>
      <c r="C104" s="66"/>
      <c r="D104" s="55">
        <v>3557845</v>
      </c>
      <c r="E104" s="39" t="e">
        <f>#REF!+#REF!</f>
        <v>#REF!</v>
      </c>
      <c r="F104" s="288"/>
      <c r="G104" s="25">
        <v>2789221</v>
      </c>
      <c r="H104" s="26">
        <v>400000</v>
      </c>
      <c r="I104" s="39">
        <f t="shared" si="5"/>
        <v>3189221</v>
      </c>
      <c r="J104" s="41"/>
      <c r="K104" s="42"/>
      <c r="L104" s="74"/>
      <c r="M104" s="74"/>
      <c r="N104" s="74"/>
      <c r="O104" s="74"/>
    </row>
    <row r="105" spans="1:10" ht="12.75">
      <c r="A105" s="51" t="s">
        <v>82</v>
      </c>
      <c r="B105" s="65"/>
      <c r="C105" s="66"/>
      <c r="D105" s="55">
        <v>3850294</v>
      </c>
      <c r="E105" s="39" t="e">
        <f>#REF!+#REF!</f>
        <v>#REF!</v>
      </c>
      <c r="F105" s="288"/>
      <c r="G105" s="25">
        <v>2856518</v>
      </c>
      <c r="H105" s="26">
        <v>621928</v>
      </c>
      <c r="I105" s="39">
        <f t="shared" si="5"/>
        <v>3478446</v>
      </c>
      <c r="J105" s="41"/>
    </row>
    <row r="106" spans="1:10" ht="12.75">
      <c r="A106" s="51" t="s">
        <v>83</v>
      </c>
      <c r="B106" s="65"/>
      <c r="C106" s="66"/>
      <c r="D106" s="55">
        <v>4379523</v>
      </c>
      <c r="E106" s="39" t="e">
        <f>#REF!+#REF!</f>
        <v>#REF!</v>
      </c>
      <c r="F106" s="288"/>
      <c r="G106" s="25">
        <v>4868572</v>
      </c>
      <c r="H106" s="26">
        <v>956189</v>
      </c>
      <c r="I106" s="39">
        <f t="shared" si="5"/>
        <v>5824761</v>
      </c>
      <c r="J106" s="41"/>
    </row>
    <row r="107" spans="1:10" ht="12.75">
      <c r="A107" s="51" t="s">
        <v>84</v>
      </c>
      <c r="B107" s="65"/>
      <c r="C107" s="66"/>
      <c r="D107" s="55">
        <v>5515819</v>
      </c>
      <c r="E107" s="39" t="e">
        <f>#REF!+#REF!</f>
        <v>#REF!</v>
      </c>
      <c r="F107" s="288"/>
      <c r="G107" s="25">
        <v>6450467</v>
      </c>
      <c r="H107" s="26">
        <v>501404</v>
      </c>
      <c r="I107" s="39">
        <f t="shared" si="5"/>
        <v>6951871</v>
      </c>
      <c r="J107" s="41"/>
    </row>
    <row r="108" spans="1:11" ht="12.75">
      <c r="A108" s="51" t="s">
        <v>85</v>
      </c>
      <c r="B108" s="65"/>
      <c r="C108" s="66"/>
      <c r="D108" s="55">
        <v>5159262</v>
      </c>
      <c r="E108" s="39" t="e">
        <f>#REF!+#REF!</f>
        <v>#REF!</v>
      </c>
      <c r="F108" s="288"/>
      <c r="G108" s="25">
        <v>4289314</v>
      </c>
      <c r="H108" s="26">
        <v>614853</v>
      </c>
      <c r="I108" s="39">
        <f t="shared" si="5"/>
        <v>4904167</v>
      </c>
      <c r="J108" s="41"/>
      <c r="K108" s="42"/>
    </row>
    <row r="109" spans="1:11" ht="12.75">
      <c r="A109" s="188" t="s">
        <v>86</v>
      </c>
      <c r="B109" s="65"/>
      <c r="C109" s="66"/>
      <c r="D109" s="55"/>
      <c r="E109" s="39" t="e">
        <f>#REF!+#REF!</f>
        <v>#REF!</v>
      </c>
      <c r="F109" s="288"/>
      <c r="G109" s="25"/>
      <c r="H109" s="26">
        <v>1470000</v>
      </c>
      <c r="I109" s="39">
        <f t="shared" si="5"/>
        <v>1470000</v>
      </c>
      <c r="J109" s="41"/>
      <c r="K109" s="42"/>
    </row>
    <row r="110" spans="1:11" ht="12.75">
      <c r="A110" s="56" t="s">
        <v>87</v>
      </c>
      <c r="B110" s="65"/>
      <c r="C110" s="66"/>
      <c r="D110" s="55">
        <v>1701423</v>
      </c>
      <c r="E110" s="39" t="e">
        <f>#REF!+#REF!</f>
        <v>#REF!</v>
      </c>
      <c r="F110" s="288"/>
      <c r="G110" s="25"/>
      <c r="H110" s="26">
        <v>500000</v>
      </c>
      <c r="I110" s="39">
        <f t="shared" si="5"/>
        <v>500000</v>
      </c>
      <c r="J110" s="41"/>
      <c r="K110" s="42"/>
    </row>
    <row r="111" spans="1:10" ht="3" customHeight="1">
      <c r="A111" s="51"/>
      <c r="B111" s="65"/>
      <c r="C111" s="66"/>
      <c r="D111" s="55"/>
      <c r="E111" s="39"/>
      <c r="F111" s="288"/>
      <c r="G111" s="25"/>
      <c r="H111" s="26"/>
      <c r="I111" s="39"/>
      <c r="J111" s="41"/>
    </row>
    <row r="112" spans="1:10" ht="12.75">
      <c r="A112" s="51" t="s">
        <v>88</v>
      </c>
      <c r="B112" s="65"/>
      <c r="C112" s="66"/>
      <c r="D112" s="55">
        <v>2488728</v>
      </c>
      <c r="E112" s="39" t="e">
        <f>#REF!+#REF!</f>
        <v>#REF!</v>
      </c>
      <c r="F112" s="288"/>
      <c r="G112" s="25">
        <v>2317640</v>
      </c>
      <c r="H112" s="26">
        <v>422427</v>
      </c>
      <c r="I112" s="39">
        <f t="shared" si="5"/>
        <v>2740067</v>
      </c>
      <c r="J112" s="41"/>
    </row>
    <row r="113" spans="1:10" ht="12.75">
      <c r="A113" s="51" t="s">
        <v>89</v>
      </c>
      <c r="B113" s="65"/>
      <c r="C113" s="66"/>
      <c r="D113" s="55">
        <v>2221408</v>
      </c>
      <c r="E113" s="39" t="e">
        <f>#REF!+#REF!</f>
        <v>#REF!</v>
      </c>
      <c r="F113" s="288"/>
      <c r="G113" s="25">
        <v>1816993</v>
      </c>
      <c r="H113" s="26">
        <v>536036</v>
      </c>
      <c r="I113" s="39">
        <f t="shared" si="5"/>
        <v>2353029</v>
      </c>
      <c r="J113" s="41"/>
    </row>
    <row r="114" spans="1:10" ht="12.75">
      <c r="A114" s="51" t="s">
        <v>90</v>
      </c>
      <c r="B114" s="65"/>
      <c r="C114" s="66"/>
      <c r="D114" s="55">
        <v>2598554</v>
      </c>
      <c r="E114" s="39" t="e">
        <f>#REF!+#REF!</f>
        <v>#REF!</v>
      </c>
      <c r="F114" s="288"/>
      <c r="G114" s="25">
        <v>2312439</v>
      </c>
      <c r="H114" s="26">
        <v>400000</v>
      </c>
      <c r="I114" s="39">
        <f t="shared" si="5"/>
        <v>2712439</v>
      </c>
      <c r="J114" s="41"/>
    </row>
    <row r="115" spans="1:10" ht="12.75">
      <c r="A115" s="51" t="s">
        <v>91</v>
      </c>
      <c r="B115" s="65"/>
      <c r="C115" s="66"/>
      <c r="D115" s="55">
        <v>5806906</v>
      </c>
      <c r="E115" s="39" t="e">
        <f>#REF!+#REF!</f>
        <v>#REF!</v>
      </c>
      <c r="F115" s="288"/>
      <c r="G115" s="25">
        <v>6421413</v>
      </c>
      <c r="H115" s="26">
        <v>808502</v>
      </c>
      <c r="I115" s="39">
        <f t="shared" si="5"/>
        <v>7229915</v>
      </c>
      <c r="J115" s="41"/>
    </row>
    <row r="116" spans="1:15" ht="12.75">
      <c r="A116" s="51" t="s">
        <v>92</v>
      </c>
      <c r="B116" s="65"/>
      <c r="C116" s="66"/>
      <c r="D116" s="55">
        <v>2278380</v>
      </c>
      <c r="E116" s="39" t="e">
        <f>#REF!+#REF!</f>
        <v>#REF!</v>
      </c>
      <c r="F116" s="288"/>
      <c r="G116" s="25">
        <v>1875164</v>
      </c>
      <c r="H116" s="26">
        <v>400000</v>
      </c>
      <c r="I116" s="39">
        <f t="shared" si="5"/>
        <v>2275164</v>
      </c>
      <c r="J116" s="41"/>
      <c r="L116" s="74"/>
      <c r="M116" s="74"/>
      <c r="N116" s="74"/>
      <c r="O116" s="74"/>
    </row>
    <row r="117" spans="1:15" ht="12.75">
      <c r="A117" s="51" t="s">
        <v>93</v>
      </c>
      <c r="B117" s="65"/>
      <c r="C117" s="66"/>
      <c r="D117" s="55">
        <v>1342379</v>
      </c>
      <c r="E117" s="39" t="e">
        <f>#REF!+#REF!</f>
        <v>#REF!</v>
      </c>
      <c r="F117" s="288"/>
      <c r="G117" s="25">
        <v>1111122</v>
      </c>
      <c r="H117" s="26">
        <v>218286</v>
      </c>
      <c r="I117" s="39">
        <f t="shared" si="5"/>
        <v>1329408</v>
      </c>
      <c r="J117" s="41"/>
      <c r="K117" s="42"/>
      <c r="L117" s="74"/>
      <c r="M117" s="74"/>
      <c r="N117" s="74"/>
      <c r="O117" s="74"/>
    </row>
    <row r="118" spans="1:10" ht="12.75">
      <c r="A118" s="51" t="s">
        <v>94</v>
      </c>
      <c r="B118" s="65"/>
      <c r="C118" s="66"/>
      <c r="D118" s="55">
        <v>499249</v>
      </c>
      <c r="E118" s="39" t="e">
        <f>#REF!+#REF!</f>
        <v>#REF!</v>
      </c>
      <c r="F118" s="288"/>
      <c r="G118" s="25">
        <v>777800</v>
      </c>
      <c r="H118" s="26">
        <v>0</v>
      </c>
      <c r="I118" s="39">
        <f t="shared" si="5"/>
        <v>777800</v>
      </c>
      <c r="J118" s="41"/>
    </row>
    <row r="119" spans="1:10" ht="12.75">
      <c r="A119" s="51" t="s">
        <v>95</v>
      </c>
      <c r="B119" s="65"/>
      <c r="C119" s="66"/>
      <c r="D119" s="55">
        <v>6018753</v>
      </c>
      <c r="E119" s="39" t="e">
        <f>#REF!+#REF!</f>
        <v>#REF!</v>
      </c>
      <c r="F119" s="288"/>
      <c r="G119" s="25">
        <v>5564251</v>
      </c>
      <c r="H119" s="26">
        <v>759675</v>
      </c>
      <c r="I119" s="39">
        <f t="shared" si="5"/>
        <v>6323926</v>
      </c>
      <c r="J119" s="41"/>
    </row>
    <row r="120" spans="1:10" ht="12.75">
      <c r="A120" s="51" t="s">
        <v>96</v>
      </c>
      <c r="B120" s="65"/>
      <c r="C120" s="66"/>
      <c r="D120" s="55">
        <v>1602075</v>
      </c>
      <c r="E120" s="39" t="e">
        <f>#REF!+#REF!</f>
        <v>#REF!</v>
      </c>
      <c r="F120" s="288"/>
      <c r="G120" s="25">
        <v>1496116</v>
      </c>
      <c r="H120" s="26">
        <v>400000</v>
      </c>
      <c r="I120" s="39">
        <f t="shared" si="5"/>
        <v>1896116</v>
      </c>
      <c r="J120" s="41"/>
    </row>
    <row r="121" spans="1:11" ht="12.75" customHeight="1">
      <c r="A121" s="56" t="s">
        <v>97</v>
      </c>
      <c r="B121" s="65"/>
      <c r="C121" s="66"/>
      <c r="D121" s="55"/>
      <c r="E121" s="39" t="e">
        <f>#REF!+#REF!</f>
        <v>#REF!</v>
      </c>
      <c r="F121" s="288"/>
      <c r="G121" s="25"/>
      <c r="H121" s="26">
        <v>800000</v>
      </c>
      <c r="I121" s="39">
        <f t="shared" si="5"/>
        <v>800000</v>
      </c>
      <c r="J121" s="41"/>
      <c r="K121" s="42"/>
    </row>
    <row r="122" spans="1:10" ht="12.75" customHeight="1">
      <c r="A122" s="56" t="s">
        <v>98</v>
      </c>
      <c r="B122" s="65"/>
      <c r="C122" s="66"/>
      <c r="D122" s="55">
        <v>2004491</v>
      </c>
      <c r="E122" s="39" t="e">
        <f>#REF!+#REF!</f>
        <v>#REF!</v>
      </c>
      <c r="F122" s="288"/>
      <c r="G122" s="25">
        <v>1226970</v>
      </c>
      <c r="H122" s="26">
        <v>485100</v>
      </c>
      <c r="I122" s="39">
        <f t="shared" si="5"/>
        <v>1712070</v>
      </c>
      <c r="J122" s="41"/>
    </row>
    <row r="123" spans="1:10" ht="12.75" customHeight="1">
      <c r="A123" s="189" t="s">
        <v>99</v>
      </c>
      <c r="B123" s="100"/>
      <c r="C123" s="101"/>
      <c r="D123" s="94"/>
      <c r="E123" s="39"/>
      <c r="F123" s="289"/>
      <c r="G123" s="102"/>
      <c r="H123" s="103"/>
      <c r="I123" s="39"/>
      <c r="J123" s="41"/>
    </row>
    <row r="124" spans="1:10" ht="12.75">
      <c r="A124" s="189" t="s">
        <v>100</v>
      </c>
      <c r="B124" s="100"/>
      <c r="C124" s="101"/>
      <c r="D124" s="81"/>
      <c r="E124" s="39" t="e">
        <f>#REF!+#REF!</f>
        <v>#REF!</v>
      </c>
      <c r="F124" s="289"/>
      <c r="G124" s="102">
        <f>362504*1.05</f>
        <v>380629.2</v>
      </c>
      <c r="H124" s="127">
        <v>60000</v>
      </c>
      <c r="I124" s="39">
        <f>G124+H124</f>
        <v>440629.2</v>
      </c>
      <c r="J124" s="41"/>
    </row>
    <row r="125" spans="1:16" ht="12.75">
      <c r="A125" s="189" t="s">
        <v>101</v>
      </c>
      <c r="B125" s="70"/>
      <c r="C125" s="71"/>
      <c r="D125" s="54">
        <v>1095406</v>
      </c>
      <c r="E125" s="39" t="e">
        <f>#REF!+#REF!</f>
        <v>#REF!</v>
      </c>
      <c r="F125" s="288"/>
      <c r="G125" s="72">
        <f>936250*1.05</f>
        <v>983062.5</v>
      </c>
      <c r="H125" s="73">
        <v>300000</v>
      </c>
      <c r="I125" s="39">
        <f>G125+H125</f>
        <v>1283062.5</v>
      </c>
      <c r="J125" s="41"/>
      <c r="L125" s="74"/>
      <c r="M125" s="74"/>
      <c r="N125" s="74"/>
      <c r="O125" s="74"/>
      <c r="P125" s="74"/>
    </row>
    <row r="126" spans="1:10" ht="12.75">
      <c r="A126" s="51" t="s">
        <v>102</v>
      </c>
      <c r="B126" s="70"/>
      <c r="C126" s="71"/>
      <c r="D126" s="54">
        <v>1140686</v>
      </c>
      <c r="E126" s="39" t="e">
        <f>#REF!+#REF!</f>
        <v>#REF!</v>
      </c>
      <c r="F126" s="288"/>
      <c r="G126" s="72">
        <v>491180</v>
      </c>
      <c r="H126" s="73">
        <v>400000</v>
      </c>
      <c r="I126" s="39">
        <f>G126+H126</f>
        <v>891180</v>
      </c>
      <c r="J126" s="1"/>
    </row>
    <row r="127" spans="1:11" ht="13.5" thickBot="1">
      <c r="A127" s="51" t="s">
        <v>103</v>
      </c>
      <c r="B127" s="96"/>
      <c r="C127" s="97"/>
      <c r="D127" s="54">
        <v>711730</v>
      </c>
      <c r="E127" s="39" t="e">
        <f>#REF!+#REF!</f>
        <v>#REF!</v>
      </c>
      <c r="F127" s="288"/>
      <c r="G127" s="62">
        <v>572490</v>
      </c>
      <c r="H127" s="63">
        <v>120000</v>
      </c>
      <c r="I127" s="39">
        <f>G127+H127</f>
        <v>692490</v>
      </c>
      <c r="J127" s="41"/>
      <c r="K127" s="42"/>
    </row>
    <row r="128" spans="1:10" ht="12.75">
      <c r="A128" s="51" t="s">
        <v>104</v>
      </c>
      <c r="B128" s="65"/>
      <c r="C128" s="66"/>
      <c r="D128" s="55"/>
      <c r="E128" s="39" t="e">
        <f>#REF!+#REF!</f>
        <v>#REF!</v>
      </c>
      <c r="F128" s="288"/>
      <c r="G128" s="25"/>
      <c r="H128" s="26">
        <v>900000</v>
      </c>
      <c r="I128" s="49">
        <f t="shared" si="5"/>
        <v>900000</v>
      </c>
      <c r="J128" s="41"/>
    </row>
    <row r="129" spans="1:10" ht="13.5" thickBot="1">
      <c r="A129" s="99" t="s">
        <v>105</v>
      </c>
      <c r="B129" s="100"/>
      <c r="C129" s="101"/>
      <c r="D129" s="94"/>
      <c r="E129" s="39"/>
      <c r="F129" s="289"/>
      <c r="G129" s="102"/>
      <c r="H129" s="103"/>
      <c r="I129" s="39">
        <f t="shared" si="5"/>
        <v>0</v>
      </c>
      <c r="J129" s="41"/>
    </row>
    <row r="130" spans="1:11" s="43" customFormat="1" ht="12.75">
      <c r="A130" s="190" t="s">
        <v>106</v>
      </c>
      <c r="B130" s="156"/>
      <c r="C130" s="157"/>
      <c r="D130" s="192">
        <f>SUM(D98:D129)</f>
        <v>65133245</v>
      </c>
      <c r="E130" s="39" t="e">
        <f>#REF!+#REF!</f>
        <v>#REF!</v>
      </c>
      <c r="F130" s="288">
        <f>(I130*11.2/12)</f>
        <v>67961046.25333333</v>
      </c>
      <c r="G130" s="191">
        <f>SUM(G98:G129)</f>
        <v>58728725.7</v>
      </c>
      <c r="H130" s="191">
        <f>SUM(H98:H129)</f>
        <v>14086681</v>
      </c>
      <c r="I130" s="49">
        <f>G130+H130</f>
        <v>72815406.7</v>
      </c>
      <c r="J130" s="41">
        <f>(D130-F130)/F130</f>
        <v>-0.04160914831699833</v>
      </c>
      <c r="K130" s="42" t="s">
        <v>154</v>
      </c>
    </row>
    <row r="131" spans="1:10" ht="12.75">
      <c r="A131" s="16"/>
      <c r="B131" s="65"/>
      <c r="C131" s="66"/>
      <c r="D131" s="187"/>
      <c r="E131" s="182"/>
      <c r="F131" s="287"/>
      <c r="G131" s="25"/>
      <c r="H131" s="26"/>
      <c r="I131" s="27"/>
      <c r="J131" s="1"/>
    </row>
    <row r="132" spans="1:10" ht="12.75">
      <c r="A132" s="185" t="s">
        <v>107</v>
      </c>
      <c r="B132" s="65"/>
      <c r="C132" s="66"/>
      <c r="D132" s="187"/>
      <c r="E132" s="182"/>
      <c r="F132" s="287"/>
      <c r="G132" s="25"/>
      <c r="H132" s="26"/>
      <c r="I132" s="27"/>
      <c r="J132" s="1"/>
    </row>
    <row r="133" spans="1:10" s="202" customFormat="1" ht="12.75">
      <c r="A133" s="193" t="s">
        <v>108</v>
      </c>
      <c r="B133" s="194"/>
      <c r="C133" s="195"/>
      <c r="D133" s="198">
        <v>61218</v>
      </c>
      <c r="E133" s="199"/>
      <c r="F133" s="293"/>
      <c r="G133" s="196"/>
      <c r="H133" s="197">
        <v>35000</v>
      </c>
      <c r="I133" s="200"/>
      <c r="J133" s="201"/>
    </row>
    <row r="134" spans="1:10" ht="12.75">
      <c r="A134" s="51" t="s">
        <v>109</v>
      </c>
      <c r="B134" s="65"/>
      <c r="C134" s="66"/>
      <c r="D134" s="55">
        <f>26257000-570500-1818255</f>
        <v>23868245</v>
      </c>
      <c r="E134" s="39" t="e">
        <f>#REF!+#REF!</f>
        <v>#REF!</v>
      </c>
      <c r="F134" s="288"/>
      <c r="G134" s="25">
        <v>8270627</v>
      </c>
      <c r="H134" s="26">
        <v>14907070</v>
      </c>
      <c r="I134" s="39">
        <f aca="true" t="shared" si="6" ref="I134:I141">G134+H134</f>
        <v>23177697</v>
      </c>
      <c r="J134" s="1"/>
    </row>
    <row r="135" spans="1:10" ht="0.75" customHeight="1">
      <c r="A135" s="51"/>
      <c r="B135" s="65"/>
      <c r="C135" s="66"/>
      <c r="D135" s="55"/>
      <c r="E135" s="39"/>
      <c r="F135" s="288"/>
      <c r="G135" s="25"/>
      <c r="H135" s="26"/>
      <c r="I135" s="39"/>
      <c r="J135" s="1"/>
    </row>
    <row r="136" spans="1:10" ht="12.75">
      <c r="A136" s="51" t="s">
        <v>110</v>
      </c>
      <c r="B136" s="65"/>
      <c r="C136" s="66"/>
      <c r="D136" s="55">
        <v>971878</v>
      </c>
      <c r="E136" s="39" t="e">
        <f>#REF!+#REF!</f>
        <v>#REF!</v>
      </c>
      <c r="F136" s="288"/>
      <c r="G136" s="25"/>
      <c r="H136" s="26">
        <v>450000</v>
      </c>
      <c r="I136" s="39">
        <f t="shared" si="6"/>
        <v>450000</v>
      </c>
      <c r="J136" s="1"/>
    </row>
    <row r="137" spans="1:10" ht="12.75">
      <c r="A137" s="51" t="s">
        <v>111</v>
      </c>
      <c r="B137" s="65"/>
      <c r="C137" s="66"/>
      <c r="D137" s="55">
        <v>1816255</v>
      </c>
      <c r="E137" s="39" t="e">
        <f>#REF!+#REF!</f>
        <v>#REF!</v>
      </c>
      <c r="F137" s="288"/>
      <c r="G137" s="25">
        <v>3797655</v>
      </c>
      <c r="H137" s="26"/>
      <c r="I137" s="39">
        <f t="shared" si="6"/>
        <v>3797655</v>
      </c>
      <c r="J137" s="1"/>
    </row>
    <row r="138" spans="1:10" ht="1.5" customHeight="1">
      <c r="A138" s="51"/>
      <c r="B138" s="65"/>
      <c r="C138" s="66"/>
      <c r="D138" s="55"/>
      <c r="E138" s="39"/>
      <c r="F138" s="288"/>
      <c r="G138" s="25"/>
      <c r="H138" s="26"/>
      <c r="I138" s="39"/>
      <c r="J138" s="1"/>
    </row>
    <row r="139" spans="1:10" ht="12.75">
      <c r="A139" s="51" t="s">
        <v>112</v>
      </c>
      <c r="B139" s="65"/>
      <c r="C139" s="66"/>
      <c r="D139" s="55">
        <v>570500</v>
      </c>
      <c r="E139" s="39" t="e">
        <f>#REF!+#REF!</f>
        <v>#REF!</v>
      </c>
      <c r="F139" s="288"/>
      <c r="G139" s="25"/>
      <c r="H139" s="26">
        <v>1000000</v>
      </c>
      <c r="I139" s="39">
        <f t="shared" si="6"/>
        <v>1000000</v>
      </c>
      <c r="J139" s="1"/>
    </row>
    <row r="140" spans="1:10" ht="12.75">
      <c r="A140" s="51" t="s">
        <v>113</v>
      </c>
      <c r="B140" s="65"/>
      <c r="C140" s="66"/>
      <c r="D140" s="55">
        <f>1500000-7468</f>
        <v>1492532</v>
      </c>
      <c r="E140" s="39" t="e">
        <f>#REF!+#REF!</f>
        <v>#REF!</v>
      </c>
      <c r="F140" s="288"/>
      <c r="G140" s="25"/>
      <c r="H140" s="26">
        <v>1500000</v>
      </c>
      <c r="I140" s="39">
        <f t="shared" si="6"/>
        <v>1500000</v>
      </c>
      <c r="J140" s="1"/>
    </row>
    <row r="141" spans="1:10" ht="13.5" thickBot="1">
      <c r="A141" s="51" t="s">
        <v>114</v>
      </c>
      <c r="B141" s="65"/>
      <c r="C141" s="66"/>
      <c r="D141" s="55">
        <v>208000</v>
      </c>
      <c r="E141" s="203" t="e">
        <f>#REF!+#REF!</f>
        <v>#REF!</v>
      </c>
      <c r="F141" s="288"/>
      <c r="G141" s="25"/>
      <c r="H141" s="26">
        <v>750000</v>
      </c>
      <c r="I141" s="39">
        <f t="shared" si="6"/>
        <v>750000</v>
      </c>
      <c r="J141" s="1"/>
    </row>
    <row r="142" spans="1:11" s="43" customFormat="1" ht="12.75">
      <c r="A142" s="190" t="s">
        <v>106</v>
      </c>
      <c r="B142" s="156"/>
      <c r="C142" s="157"/>
      <c r="D142" s="192">
        <f>SUM(D133:D141)</f>
        <v>28988628</v>
      </c>
      <c r="E142" s="68" t="e">
        <f>#REF!+#REF!</f>
        <v>#REF!</v>
      </c>
      <c r="F142" s="288">
        <f>(I142*11.2/12)</f>
        <v>28662995.2</v>
      </c>
      <c r="G142" s="204">
        <f>SUM(G134:G141)</f>
        <v>12068282</v>
      </c>
      <c r="H142" s="191">
        <f>SUM(H133:H141)</f>
        <v>18642070</v>
      </c>
      <c r="I142" s="49">
        <f>G142+H142</f>
        <v>30710352</v>
      </c>
      <c r="J142" s="41">
        <f>(D142-F142)/F142</f>
        <v>0.011360738740939425</v>
      </c>
      <c r="K142" s="42" t="s">
        <v>155</v>
      </c>
    </row>
    <row r="143" spans="1:10" ht="12.75">
      <c r="A143" s="205"/>
      <c r="B143" s="100"/>
      <c r="C143" s="101"/>
      <c r="D143" s="208"/>
      <c r="E143" s="207"/>
      <c r="F143" s="294"/>
      <c r="G143" s="102"/>
      <c r="H143" s="206"/>
      <c r="I143" s="209"/>
      <c r="J143" s="1"/>
    </row>
    <row r="144" spans="1:10" ht="12.75">
      <c r="A144" s="210" t="s">
        <v>115</v>
      </c>
      <c r="B144" s="100"/>
      <c r="C144" s="101"/>
      <c r="D144" s="208"/>
      <c r="E144" s="207"/>
      <c r="F144" s="294"/>
      <c r="G144" s="102"/>
      <c r="H144" s="206"/>
      <c r="I144" s="209"/>
      <c r="J144" s="1"/>
    </row>
    <row r="145" spans="1:10" ht="12.75">
      <c r="A145" s="211" t="s">
        <v>116</v>
      </c>
      <c r="B145" s="100"/>
      <c r="C145" s="101"/>
      <c r="D145" s="212">
        <v>576996</v>
      </c>
      <c r="E145" s="39" t="e">
        <f>#REF!+#REF!</f>
        <v>#REF!</v>
      </c>
      <c r="F145" s="289"/>
      <c r="G145" s="102">
        <v>822651</v>
      </c>
      <c r="H145" s="206"/>
      <c r="I145" s="39">
        <f aca="true" t="shared" si="7" ref="I145:I151">G145+H145</f>
        <v>822651</v>
      </c>
      <c r="J145" s="1"/>
    </row>
    <row r="146" spans="1:10" ht="12.75">
      <c r="A146" s="51" t="s">
        <v>117</v>
      </c>
      <c r="B146" s="65"/>
      <c r="C146" s="66"/>
      <c r="D146" s="55">
        <f>2961426+(3415859-1486853-1337500)+(998808-56923)</f>
        <v>4494817</v>
      </c>
      <c r="E146" s="39" t="e">
        <f>#REF!+#REF!</f>
        <v>#REF!</v>
      </c>
      <c r="F146" s="288"/>
      <c r="G146" s="25"/>
      <c r="H146" s="26"/>
      <c r="I146" s="39">
        <v>6500000</v>
      </c>
      <c r="J146" s="1"/>
    </row>
    <row r="147" spans="1:10" ht="12.75">
      <c r="A147" s="51" t="s">
        <v>118</v>
      </c>
      <c r="B147" s="65"/>
      <c r="C147" s="66"/>
      <c r="D147" s="55">
        <v>1337500</v>
      </c>
      <c r="E147" s="39" t="e">
        <f>#REF!+#REF!</f>
        <v>#REF!</v>
      </c>
      <c r="F147" s="288"/>
      <c r="G147" s="25"/>
      <c r="H147" s="26"/>
      <c r="I147" s="39">
        <v>1823348</v>
      </c>
      <c r="J147" s="1"/>
    </row>
    <row r="148" spans="1:10" ht="12.75">
      <c r="A148" s="51" t="s">
        <v>119</v>
      </c>
      <c r="B148" s="65"/>
      <c r="C148" s="66"/>
      <c r="D148" s="55">
        <v>1486853</v>
      </c>
      <c r="E148" s="39" t="e">
        <f>#REF!+#REF!</f>
        <v>#REF!</v>
      </c>
      <c r="F148" s="288"/>
      <c r="G148" s="25">
        <v>3152182</v>
      </c>
      <c r="H148" s="26">
        <f>8820000-800000</f>
        <v>8020000</v>
      </c>
      <c r="I148" s="39">
        <f t="shared" si="7"/>
        <v>11172182</v>
      </c>
      <c r="J148" s="1"/>
    </row>
    <row r="149" spans="1:10" ht="12.75" customHeight="1">
      <c r="A149" s="91" t="s">
        <v>120</v>
      </c>
      <c r="B149" s="65"/>
      <c r="C149" s="66"/>
      <c r="D149" s="55"/>
      <c r="E149" s="39" t="e">
        <f>#REF!+#REF!</f>
        <v>#REF!</v>
      </c>
      <c r="F149" s="288"/>
      <c r="G149" s="25"/>
      <c r="H149" s="26"/>
      <c r="I149" s="39">
        <f t="shared" si="7"/>
        <v>0</v>
      </c>
      <c r="J149" s="1"/>
    </row>
    <row r="150" spans="1:10" ht="12.75" customHeight="1">
      <c r="A150" s="114" t="s">
        <v>121</v>
      </c>
      <c r="B150" s="65"/>
      <c r="C150" s="66"/>
      <c r="D150" s="55"/>
      <c r="E150" s="39" t="e">
        <f>#REF!+#REF!</f>
        <v>#REF!</v>
      </c>
      <c r="F150" s="288"/>
      <c r="G150" s="25"/>
      <c r="H150" s="26"/>
      <c r="I150" s="39">
        <f t="shared" si="7"/>
        <v>0</v>
      </c>
      <c r="J150" s="1"/>
    </row>
    <row r="151" spans="1:10" ht="12.75" customHeight="1" thickBot="1">
      <c r="A151" s="213" t="s">
        <v>122</v>
      </c>
      <c r="B151" s="96"/>
      <c r="C151" s="97"/>
      <c r="D151" s="214"/>
      <c r="E151" s="203" t="e">
        <f>#REF!+#REF!</f>
        <v>#REF!</v>
      </c>
      <c r="F151" s="288"/>
      <c r="G151" s="62"/>
      <c r="H151" s="140"/>
      <c r="I151" s="39">
        <f t="shared" si="7"/>
        <v>0</v>
      </c>
      <c r="J151" s="1"/>
    </row>
    <row r="152" spans="1:11" s="42" customFormat="1" ht="12.75">
      <c r="A152" s="215" t="s">
        <v>106</v>
      </c>
      <c r="B152" s="216"/>
      <c r="C152" s="217"/>
      <c r="D152" s="220">
        <f>SUM(D145:D151)</f>
        <v>7896166</v>
      </c>
      <c r="E152" s="68" t="e">
        <f>#REF!+#REF!</f>
        <v>#REF!</v>
      </c>
      <c r="F152" s="288">
        <f>(I152*11.2/12)</f>
        <v>11758302.266666666</v>
      </c>
      <c r="G152" s="218">
        <f>SUM(G144:G151)</f>
        <v>3974833</v>
      </c>
      <c r="H152" s="219">
        <f>SUM(H146:H151)</f>
        <v>8020000</v>
      </c>
      <c r="I152" s="49">
        <v>12598181</v>
      </c>
      <c r="J152" s="41">
        <f>(D152-F152)/F152</f>
        <v>-0.3284603660526184</v>
      </c>
      <c r="K152" s="42" t="s">
        <v>156</v>
      </c>
    </row>
    <row r="153" spans="1:10" ht="12.75">
      <c r="A153" s="185"/>
      <c r="B153" s="65"/>
      <c r="C153" s="66"/>
      <c r="D153" s="187"/>
      <c r="E153" s="182"/>
      <c r="F153" s="287"/>
      <c r="G153" s="25"/>
      <c r="H153" s="26"/>
      <c r="I153" s="27"/>
      <c r="J153" s="1"/>
    </row>
    <row r="154" spans="1:10" ht="12.75">
      <c r="A154" s="185" t="s">
        <v>123</v>
      </c>
      <c r="B154" s="65"/>
      <c r="C154" s="66"/>
      <c r="D154" s="187"/>
      <c r="E154" s="182"/>
      <c r="F154" s="287"/>
      <c r="G154" s="25"/>
      <c r="H154" s="26"/>
      <c r="I154" s="27"/>
      <c r="J154" s="1"/>
    </row>
    <row r="155" spans="1:10" ht="13.5" thickBot="1">
      <c r="A155" s="51" t="s">
        <v>124</v>
      </c>
      <c r="B155" s="65"/>
      <c r="C155" s="66"/>
      <c r="D155" s="55">
        <v>11448496</v>
      </c>
      <c r="E155" s="39" t="e">
        <f>#REF!+#REF!</f>
        <v>#REF!</v>
      </c>
      <c r="F155" s="288"/>
      <c r="G155" s="25"/>
      <c r="H155" s="26">
        <f>13000000-450000</f>
        <v>12550000</v>
      </c>
      <c r="I155" s="39">
        <f>G155+H155</f>
        <v>12550000</v>
      </c>
      <c r="J155" s="1"/>
    </row>
    <row r="156" spans="1:11" s="43" customFormat="1" ht="12.75">
      <c r="A156" s="190" t="s">
        <v>106</v>
      </c>
      <c r="B156" s="156"/>
      <c r="C156" s="157"/>
      <c r="D156" s="192">
        <f>SUM(D154:D155)</f>
        <v>11448496</v>
      </c>
      <c r="E156" s="39" t="e">
        <f>#REF!+#REF!</f>
        <v>#REF!</v>
      </c>
      <c r="F156" s="288">
        <f>(I156*11.2/12)</f>
        <v>11713333.333333334</v>
      </c>
      <c r="G156" s="204">
        <f>SUM(G154:G155)</f>
        <v>0</v>
      </c>
      <c r="H156" s="191">
        <f>SUM(H154:H155)</f>
        <v>12550000</v>
      </c>
      <c r="I156" s="49">
        <f>G156+H156</f>
        <v>12550000</v>
      </c>
      <c r="J156" s="41">
        <f>(D156-F156)/F156</f>
        <v>-0.022609903244166243</v>
      </c>
      <c r="K156" s="221"/>
    </row>
    <row r="157" spans="1:10" ht="13.5" thickBot="1">
      <c r="A157" s="222"/>
      <c r="B157" s="70"/>
      <c r="C157" s="71"/>
      <c r="D157" s="55"/>
      <c r="E157" s="224"/>
      <c r="F157" s="295"/>
      <c r="G157" s="72"/>
      <c r="H157" s="223"/>
      <c r="I157" s="225"/>
      <c r="J157" s="1"/>
    </row>
    <row r="158" spans="1:11" s="181" customFormat="1" ht="15.75" thickBot="1">
      <c r="A158" s="226" t="s">
        <v>125</v>
      </c>
      <c r="B158" s="227">
        <f>B130+B142+B152+B156</f>
        <v>0</v>
      </c>
      <c r="C158" s="228">
        <f>C130+C142+C152+C156</f>
        <v>0</v>
      </c>
      <c r="D158" s="169">
        <f>D130+D142+D152+D155</f>
        <v>113466535</v>
      </c>
      <c r="E158" s="168" t="e">
        <f>E130+E142+E152+E155</f>
        <v>#REF!</v>
      </c>
      <c r="F158" s="231">
        <f>F130+F142+F152+F155+224</f>
        <v>108382567.72</v>
      </c>
      <c r="G158" s="229">
        <f>G130+G142+G152+G156</f>
        <v>74771840.7</v>
      </c>
      <c r="H158" s="230">
        <f>H130+H142+H152+H156</f>
        <v>53298751</v>
      </c>
      <c r="I158" s="231">
        <f>I130+I142+I152+I155+224</f>
        <v>128674163.7</v>
      </c>
      <c r="J158" s="41"/>
      <c r="K158" s="232"/>
    </row>
    <row r="159" spans="1:10" ht="12.75">
      <c r="A159" s="233"/>
      <c r="B159" s="100"/>
      <c r="C159" s="101"/>
      <c r="D159" s="105"/>
      <c r="E159" s="104"/>
      <c r="F159" s="290"/>
      <c r="G159" s="102"/>
      <c r="H159" s="103"/>
      <c r="I159" s="106"/>
      <c r="J159" s="1"/>
    </row>
    <row r="160" spans="1:10" s="33" customFormat="1" ht="14.25">
      <c r="A160" s="234" t="s">
        <v>126</v>
      </c>
      <c r="B160" s="65"/>
      <c r="C160" s="66"/>
      <c r="D160" s="183"/>
      <c r="E160" s="182"/>
      <c r="F160" s="287"/>
      <c r="G160" s="25"/>
      <c r="H160" s="30"/>
      <c r="I160" s="27"/>
      <c r="J160" s="32"/>
    </row>
    <row r="161" spans="1:10" ht="12.75">
      <c r="A161" s="56" t="s">
        <v>127</v>
      </c>
      <c r="B161" s="65"/>
      <c r="C161" s="66"/>
      <c r="D161" s="55">
        <v>178809</v>
      </c>
      <c r="E161" s="39" t="e">
        <f>#REF!+#REF!</f>
        <v>#REF!</v>
      </c>
      <c r="F161" s="288"/>
      <c r="G161" s="25"/>
      <c r="H161" s="26">
        <v>250000</v>
      </c>
      <c r="I161" s="39">
        <f aca="true" t="shared" si="8" ref="I161:I173">G161+H161</f>
        <v>250000</v>
      </c>
      <c r="J161" s="1"/>
    </row>
    <row r="162" spans="1:10" ht="12.75">
      <c r="A162" s="51" t="s">
        <v>128</v>
      </c>
      <c r="B162" s="65"/>
      <c r="C162" s="66"/>
      <c r="D162" s="55">
        <v>500000</v>
      </c>
      <c r="E162" s="39" t="e">
        <f>#REF!+#REF!</f>
        <v>#REF!</v>
      </c>
      <c r="F162" s="288"/>
      <c r="G162" s="25">
        <v>500000</v>
      </c>
      <c r="H162" s="26"/>
      <c r="I162" s="39">
        <f t="shared" si="8"/>
        <v>500000</v>
      </c>
      <c r="J162" s="1"/>
    </row>
    <row r="163" spans="1:10" ht="12.75">
      <c r="A163" s="51" t="s">
        <v>129</v>
      </c>
      <c r="B163" s="65"/>
      <c r="C163" s="66"/>
      <c r="D163" s="55"/>
      <c r="E163" s="39"/>
      <c r="F163" s="288"/>
      <c r="G163" s="25">
        <v>489630</v>
      </c>
      <c r="H163" s="26"/>
      <c r="I163" s="39">
        <f t="shared" si="8"/>
        <v>489630</v>
      </c>
      <c r="J163" s="1"/>
    </row>
    <row r="164" spans="1:10" ht="12.75">
      <c r="A164" s="51" t="s">
        <v>130</v>
      </c>
      <c r="B164" s="65"/>
      <c r="C164" s="66"/>
      <c r="D164" s="55"/>
      <c r="E164" s="39" t="e">
        <f>#REF!+#REF!</f>
        <v>#REF!</v>
      </c>
      <c r="F164" s="288"/>
      <c r="G164" s="25">
        <v>200000</v>
      </c>
      <c r="H164" s="26"/>
      <c r="I164" s="39">
        <f t="shared" si="8"/>
        <v>200000</v>
      </c>
      <c r="J164" s="1"/>
    </row>
    <row r="165" spans="1:10" ht="12.75">
      <c r="A165" s="51" t="s">
        <v>131</v>
      </c>
      <c r="B165" s="65"/>
      <c r="C165" s="66"/>
      <c r="D165" s="55"/>
      <c r="E165" s="39" t="e">
        <f>#REF!+#REF!</f>
        <v>#REF!</v>
      </c>
      <c r="F165" s="288"/>
      <c r="G165" s="25">
        <v>3600000</v>
      </c>
      <c r="H165" s="26"/>
      <c r="I165" s="39">
        <v>3600000</v>
      </c>
      <c r="J165" s="1"/>
    </row>
    <row r="166" spans="1:10" ht="12.75">
      <c r="A166" s="51" t="s">
        <v>132</v>
      </c>
      <c r="B166" s="65"/>
      <c r="C166" s="66"/>
      <c r="D166" s="55"/>
      <c r="E166" s="39" t="e">
        <f>#REF!+#REF!</f>
        <v>#REF!</v>
      </c>
      <c r="F166" s="288"/>
      <c r="G166" s="25">
        <v>1000000</v>
      </c>
      <c r="H166" s="26"/>
      <c r="I166" s="39">
        <f t="shared" si="8"/>
        <v>1000000</v>
      </c>
      <c r="J166" s="1"/>
    </row>
    <row r="167" spans="1:10" ht="12.75">
      <c r="A167" s="51" t="s">
        <v>133</v>
      </c>
      <c r="B167" s="65"/>
      <c r="C167" s="66"/>
      <c r="D167" s="55">
        <v>0</v>
      </c>
      <c r="E167" s="39" t="e">
        <f>#REF!+#REF!</f>
        <v>#REF!</v>
      </c>
      <c r="F167" s="288"/>
      <c r="G167" s="25">
        <v>300000</v>
      </c>
      <c r="H167" s="26"/>
      <c r="I167" s="39">
        <f t="shared" si="8"/>
        <v>300000</v>
      </c>
      <c r="J167" s="1"/>
    </row>
    <row r="168" spans="1:10" ht="12.75">
      <c r="A168" s="51" t="s">
        <v>134</v>
      </c>
      <c r="B168" s="65"/>
      <c r="C168" s="66"/>
      <c r="D168" s="55"/>
      <c r="E168" s="39" t="e">
        <f>#REF!+#REF!</f>
        <v>#REF!</v>
      </c>
      <c r="F168" s="288"/>
      <c r="G168" s="25">
        <f>1139229+805489</f>
        <v>1944718</v>
      </c>
      <c r="H168" s="26"/>
      <c r="I168" s="39">
        <v>2080848</v>
      </c>
      <c r="J168" s="1"/>
    </row>
    <row r="169" spans="1:10" ht="12.75">
      <c r="A169" s="51" t="s">
        <v>135</v>
      </c>
      <c r="B169" s="65"/>
      <c r="C169" s="66"/>
      <c r="D169" s="55">
        <v>44098</v>
      </c>
      <c r="E169" s="39" t="e">
        <f>#REF!+#REF!</f>
        <v>#REF!</v>
      </c>
      <c r="F169" s="288"/>
      <c r="G169" s="25">
        <v>150000</v>
      </c>
      <c r="H169" s="26"/>
      <c r="I169" s="39">
        <f t="shared" si="8"/>
        <v>150000</v>
      </c>
      <c r="J169" s="1"/>
    </row>
    <row r="170" spans="1:10" ht="13.5" thickBot="1">
      <c r="A170" s="51" t="s">
        <v>136</v>
      </c>
      <c r="B170" s="65"/>
      <c r="C170" s="66"/>
      <c r="D170" s="55">
        <v>100910</v>
      </c>
      <c r="E170" s="39" t="e">
        <f>#REF!+#REF!</f>
        <v>#REF!</v>
      </c>
      <c r="F170" s="288"/>
      <c r="G170" s="72">
        <v>240000</v>
      </c>
      <c r="H170" s="223"/>
      <c r="I170" s="39"/>
      <c r="J170" s="1"/>
    </row>
    <row r="171" spans="1:11" ht="12.75">
      <c r="A171" s="51" t="s">
        <v>137</v>
      </c>
      <c r="B171" s="65"/>
      <c r="C171" s="24"/>
      <c r="D171" s="303">
        <f>283201+5202726</f>
        <v>5485927</v>
      </c>
      <c r="E171" s="110">
        <v>2900000</v>
      </c>
      <c r="F171" s="304"/>
      <c r="G171" s="47">
        <v>2900000</v>
      </c>
      <c r="H171" s="48"/>
      <c r="I171" s="110">
        <f t="shared" si="8"/>
        <v>2900000</v>
      </c>
      <c r="J171" s="1"/>
      <c r="K171" s="42"/>
    </row>
    <row r="172" spans="1:11" ht="12.75">
      <c r="A172" s="51" t="s">
        <v>138</v>
      </c>
      <c r="B172" s="65"/>
      <c r="C172" s="24"/>
      <c r="D172" s="305"/>
      <c r="E172" s="39"/>
      <c r="F172" s="288"/>
      <c r="G172" s="25"/>
      <c r="H172" s="26"/>
      <c r="I172" s="39">
        <f t="shared" si="8"/>
        <v>0</v>
      </c>
      <c r="J172" s="307">
        <v>0.39</v>
      </c>
      <c r="K172" s="42"/>
    </row>
    <row r="173" spans="1:11" ht="13.5" thickBot="1">
      <c r="A173" s="51" t="s">
        <v>139</v>
      </c>
      <c r="B173" s="65"/>
      <c r="C173" s="24"/>
      <c r="D173" s="306">
        <v>3457413</v>
      </c>
      <c r="E173" s="64" t="e">
        <f>#REF!+#REF!</f>
        <v>#REF!</v>
      </c>
      <c r="F173" s="292"/>
      <c r="G173" s="62"/>
      <c r="H173" s="140">
        <v>3500000</v>
      </c>
      <c r="I173" s="64">
        <f t="shared" si="8"/>
        <v>3500000</v>
      </c>
      <c r="J173" s="1"/>
      <c r="K173" s="42"/>
    </row>
    <row r="174" spans="1:11" s="181" customFormat="1" ht="15">
      <c r="A174" s="235" t="s">
        <v>140</v>
      </c>
      <c r="B174" s="236"/>
      <c r="C174" s="237"/>
      <c r="D174" s="243">
        <f>SUM(D160:D173)</f>
        <v>9767157</v>
      </c>
      <c r="E174" s="176" t="e">
        <f>SUM(E160:E173)+100000</f>
        <v>#REF!</v>
      </c>
      <c r="F174" s="289">
        <f>(I174*11.2/12)+600000</f>
        <v>14572446.133333333</v>
      </c>
      <c r="G174" s="241">
        <f>SUM(G160:G173)</f>
        <v>11324348</v>
      </c>
      <c r="H174" s="242">
        <f>SUM(H160:H173)</f>
        <v>3750000</v>
      </c>
      <c r="I174" s="176">
        <f>SUM(I160:I173)</f>
        <v>14970478</v>
      </c>
      <c r="J174" s="41"/>
      <c r="K174" s="301"/>
    </row>
    <row r="175" spans="1:10" s="181" customFormat="1" ht="15">
      <c r="A175" s="238"/>
      <c r="B175" s="239"/>
      <c r="C175" s="240"/>
      <c r="D175" s="243"/>
      <c r="E175" s="176"/>
      <c r="F175" s="175"/>
      <c r="G175" s="241"/>
      <c r="H175" s="242"/>
      <c r="I175" s="176"/>
      <c r="J175" s="244"/>
    </row>
    <row r="176" spans="1:10" s="181" customFormat="1" ht="15">
      <c r="A176" s="29" t="s">
        <v>141</v>
      </c>
      <c r="B176" s="245"/>
      <c r="C176" s="246"/>
      <c r="D176" s="250">
        <v>1400000</v>
      </c>
      <c r="E176" s="249" t="e">
        <f>SUM(#REF!)</f>
        <v>#REF!</v>
      </c>
      <c r="F176" s="296">
        <v>1400000</v>
      </c>
      <c r="G176" s="247"/>
      <c r="H176" s="248">
        <v>1400000</v>
      </c>
      <c r="I176" s="249">
        <f>SUM(G176:H176)</f>
        <v>1400000</v>
      </c>
      <c r="J176" s="244"/>
    </row>
    <row r="177" spans="1:10" s="259" customFormat="1" ht="13.5" thickBot="1">
      <c r="A177" s="251"/>
      <c r="B177" s="252"/>
      <c r="C177" s="253"/>
      <c r="D177" s="257"/>
      <c r="E177" s="256"/>
      <c r="F177" s="297"/>
      <c r="G177" s="254"/>
      <c r="H177" s="255"/>
      <c r="I177" s="256"/>
      <c r="J177" s="258"/>
    </row>
    <row r="178" spans="1:11" s="33" customFormat="1" ht="18.75" customHeight="1" thickBot="1">
      <c r="A178" s="260" t="s">
        <v>9</v>
      </c>
      <c r="B178" s="261" t="e">
        <f>B94+B158+B174+#REF!+B176</f>
        <v>#REF!</v>
      </c>
      <c r="C178" s="261" t="e">
        <f>C94+C158+C174+#REF!+C176</f>
        <v>#REF!</v>
      </c>
      <c r="D178" s="262">
        <f aca="true" t="shared" si="9" ref="D178:I178">D94+D158+D174+D176</f>
        <v>193309195</v>
      </c>
      <c r="E178" s="262" t="e">
        <f t="shared" si="9"/>
        <v>#REF!</v>
      </c>
      <c r="F178" s="262">
        <f t="shared" si="9"/>
        <v>188558127.18666667</v>
      </c>
      <c r="G178" s="262">
        <f t="shared" si="9"/>
        <v>126056538.7</v>
      </c>
      <c r="H178" s="262">
        <f t="shared" si="9"/>
        <v>86607660</v>
      </c>
      <c r="I178" s="262">
        <f t="shared" si="9"/>
        <v>213833691.7</v>
      </c>
      <c r="J178" s="41">
        <f>(D178-F178)/F178</f>
        <v>0.025196833911221038</v>
      </c>
      <c r="K178" s="309" t="s">
        <v>160</v>
      </c>
    </row>
    <row r="179" spans="1:10" ht="12.75">
      <c r="A179" s="1"/>
      <c r="B179" s="1"/>
      <c r="C179" s="1"/>
      <c r="D179" s="2"/>
      <c r="E179" s="2"/>
      <c r="F179" s="2"/>
      <c r="G179" s="2"/>
      <c r="H179" s="2"/>
      <c r="I179" s="2"/>
      <c r="J179" s="1"/>
    </row>
    <row r="180" spans="1:10" ht="13.5" thickBot="1">
      <c r="A180" s="258" t="s">
        <v>142</v>
      </c>
      <c r="B180" s="32"/>
      <c r="C180" s="32"/>
      <c r="D180" s="263"/>
      <c r="E180" s="264"/>
      <c r="F180" s="264"/>
      <c r="G180" s="263"/>
      <c r="H180" s="263"/>
      <c r="I180" s="264"/>
      <c r="J180" s="1"/>
    </row>
    <row r="181" spans="1:11" ht="12.75">
      <c r="A181" s="265" t="s">
        <v>143</v>
      </c>
      <c r="B181" s="32"/>
      <c r="C181" s="32"/>
      <c r="D181" s="266"/>
      <c r="E181" s="267">
        <v>190100000</v>
      </c>
      <c r="F181" s="298"/>
      <c r="G181" s="263"/>
      <c r="H181" s="266"/>
      <c r="I181" s="267">
        <v>190100000</v>
      </c>
      <c r="J181" s="1"/>
      <c r="K181" s="268"/>
    </row>
    <row r="182" spans="1:11" ht="12.75">
      <c r="A182" s="265" t="s">
        <v>144</v>
      </c>
      <c r="B182" s="32"/>
      <c r="C182" s="32"/>
      <c r="D182" s="264"/>
      <c r="E182" s="269"/>
      <c r="F182" s="298"/>
      <c r="G182" s="263"/>
      <c r="H182" s="264"/>
      <c r="I182" s="269"/>
      <c r="J182" s="1"/>
      <c r="K182" s="270"/>
    </row>
    <row r="183" spans="1:10" ht="12.75">
      <c r="A183" s="265" t="s">
        <v>145</v>
      </c>
      <c r="B183" s="32"/>
      <c r="C183" s="32"/>
      <c r="D183" s="263"/>
      <c r="E183" s="269">
        <v>9800000</v>
      </c>
      <c r="F183" s="298"/>
      <c r="G183" s="272"/>
      <c r="H183" s="263"/>
      <c r="I183" s="269">
        <v>9800000</v>
      </c>
      <c r="J183" s="268"/>
    </row>
    <row r="184" spans="1:10" ht="12.75">
      <c r="A184" s="265" t="s">
        <v>146</v>
      </c>
      <c r="B184" s="32"/>
      <c r="C184" s="32"/>
      <c r="D184" s="263"/>
      <c r="E184" s="269"/>
      <c r="F184" s="298"/>
      <c r="G184" s="271"/>
      <c r="H184" s="263"/>
      <c r="I184" s="269"/>
      <c r="J184" s="1"/>
    </row>
    <row r="185" spans="1:10" ht="12.75">
      <c r="A185" s="265" t="s">
        <v>147</v>
      </c>
      <c r="B185" s="32"/>
      <c r="C185" s="32"/>
      <c r="D185" s="263"/>
      <c r="E185" s="269">
        <v>2500000</v>
      </c>
      <c r="F185" s="298"/>
      <c r="G185" s="271"/>
      <c r="H185" s="263"/>
      <c r="I185" s="269">
        <v>2500000</v>
      </c>
      <c r="J185" s="1"/>
    </row>
    <row r="186" spans="1:10" ht="13.5" thickBot="1">
      <c r="A186" s="265" t="s">
        <v>148</v>
      </c>
      <c r="B186" s="32"/>
      <c r="C186" s="32"/>
      <c r="D186" s="2"/>
      <c r="E186" s="273">
        <v>12073000</v>
      </c>
      <c r="F186" s="298"/>
      <c r="G186" s="263"/>
      <c r="H186" s="2"/>
      <c r="I186" s="273">
        <v>12073000</v>
      </c>
      <c r="J186" s="1"/>
    </row>
    <row r="187" spans="1:10" s="171" customFormat="1" ht="12.75">
      <c r="A187" s="244" t="s">
        <v>149</v>
      </c>
      <c r="B187" s="179"/>
      <c r="C187" s="179"/>
      <c r="D187" s="275"/>
      <c r="E187" s="276">
        <f>SUM(E181:E186)</f>
        <v>214473000</v>
      </c>
      <c r="F187" s="276"/>
      <c r="G187" s="274"/>
      <c r="H187" s="275"/>
      <c r="I187" s="276">
        <f>SUM(I181:I186)</f>
        <v>214473000</v>
      </c>
      <c r="J187" s="41"/>
    </row>
    <row r="188" spans="1:10" ht="13.5" thickBot="1">
      <c r="A188" s="32"/>
      <c r="B188" s="32"/>
      <c r="C188" s="32"/>
      <c r="D188" s="263"/>
      <c r="E188" s="264"/>
      <c r="F188" s="264"/>
      <c r="G188" s="263"/>
      <c r="H188" s="263"/>
      <c r="I188" s="264"/>
      <c r="J188" s="1"/>
    </row>
    <row r="189" spans="1:10" ht="13.5" thickBot="1">
      <c r="A189" s="277" t="s">
        <v>150</v>
      </c>
      <c r="B189" s="32"/>
      <c r="C189" s="32"/>
      <c r="D189" s="263" t="s">
        <v>158</v>
      </c>
      <c r="E189" s="278" t="e">
        <f>E187-E178</f>
        <v>#REF!</v>
      </c>
      <c r="F189" s="136"/>
      <c r="G189" s="264"/>
      <c r="H189" s="263"/>
      <c r="I189" s="278">
        <f>I187-I178</f>
        <v>639308.3000000119</v>
      </c>
      <c r="J189" s="1"/>
    </row>
    <row r="190" spans="1:10" ht="13.5" thickTop="1">
      <c r="A190" s="32"/>
      <c r="B190" s="32"/>
      <c r="C190" s="32"/>
      <c r="D190" s="266"/>
      <c r="E190" s="264"/>
      <c r="F190" s="264"/>
      <c r="G190" s="263"/>
      <c r="H190" s="266"/>
      <c r="I190" s="264"/>
      <c r="J190" s="1"/>
    </row>
    <row r="191" spans="1:10" ht="12.75">
      <c r="A191" s="32"/>
      <c r="B191" s="32"/>
      <c r="C191" s="32"/>
      <c r="D191" s="279"/>
      <c r="E191" s="280"/>
      <c r="F191" s="280"/>
      <c r="G191" s="32"/>
      <c r="H191" s="279"/>
      <c r="I191" s="280"/>
      <c r="J191" s="1"/>
    </row>
    <row r="192" spans="1:10" ht="12.75">
      <c r="A192" s="302" t="s">
        <v>157</v>
      </c>
      <c r="B192" s="32"/>
      <c r="C192" s="32"/>
      <c r="D192" s="279"/>
      <c r="E192" s="280"/>
      <c r="F192" s="280"/>
      <c r="G192" s="32"/>
      <c r="H192" s="279"/>
      <c r="I192" s="280"/>
      <c r="J192" s="1"/>
    </row>
    <row r="193" spans="1:10" ht="12.75">
      <c r="A193" s="32"/>
      <c r="B193" s="32"/>
      <c r="C193" s="32"/>
      <c r="D193" s="280"/>
      <c r="E193" s="32"/>
      <c r="F193" s="32"/>
      <c r="G193" s="32"/>
      <c r="H193" s="280"/>
      <c r="I193" s="32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1" ht="15">
      <c r="A195" s="281"/>
      <c r="B195" s="1"/>
      <c r="C195" s="1"/>
      <c r="D195" s="1"/>
      <c r="E195" s="1"/>
      <c r="F195" s="1"/>
      <c r="G195" s="1"/>
      <c r="H195" s="1"/>
      <c r="I195" s="1"/>
      <c r="J195" s="1"/>
      <c r="K195" s="282"/>
    </row>
    <row r="196" spans="1:10" ht="12.75">
      <c r="A196" s="1"/>
      <c r="B196" s="1"/>
      <c r="C196" s="1"/>
      <c r="D196" s="1"/>
      <c r="E196" s="283"/>
      <c r="F196" s="283"/>
      <c r="G196" s="1"/>
      <c r="H196" s="1"/>
      <c r="I196" s="283"/>
      <c r="J196" s="1"/>
    </row>
    <row r="197" spans="1:10" ht="12.75">
      <c r="A197" s="1"/>
      <c r="B197" s="1"/>
      <c r="C197" s="1"/>
      <c r="D197" s="1"/>
      <c r="E197" s="283"/>
      <c r="F197" s="283"/>
      <c r="G197" s="1"/>
      <c r="H197" s="1"/>
      <c r="I197" s="283"/>
      <c r="J197" s="1"/>
    </row>
    <row r="198" spans="1:10" ht="12.75">
      <c r="A198" s="22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22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22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22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32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22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22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22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22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32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32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22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22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22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22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32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22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32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32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22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32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32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221"/>
      <c r="B224" s="1"/>
      <c r="C224" s="1"/>
      <c r="D224" s="1"/>
      <c r="E224" s="1"/>
      <c r="F224" s="1"/>
      <c r="G224" s="1"/>
      <c r="H224" s="1"/>
      <c r="I224" s="1"/>
      <c r="J224" s="1"/>
    </row>
    <row r="225" ht="12.75">
      <c r="A225" s="284"/>
    </row>
    <row r="226" ht="12.75">
      <c r="A226" s="284"/>
    </row>
  </sheetData>
  <sheetProtection/>
  <mergeCells count="8">
    <mergeCell ref="G4:I4"/>
    <mergeCell ref="B5:C5"/>
    <mergeCell ref="D5:E5"/>
    <mergeCell ref="G5:I5"/>
    <mergeCell ref="A1:C1"/>
    <mergeCell ref="A2:C2"/>
    <mergeCell ref="B4:C4"/>
    <mergeCell ref="D4:E4"/>
  </mergeCells>
  <printOptions/>
  <pageMargins left="0.75" right="0.75" top="1" bottom="1" header="0.5" footer="0.5"/>
  <pageSetup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26" right="0.2" top="0.47" bottom="0.56" header="0.18" footer="0.47"/>
  <pageSetup fitToHeight="3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="130" zoomScaleNormal="130" zoomScalePageLayoutView="0" workbookViewId="0" topLeftCell="A1">
      <selection activeCell="A9" sqref="A9"/>
    </sheetView>
  </sheetViews>
  <sheetFormatPr defaultColWidth="9.140625" defaultRowHeight="12.75"/>
  <cols>
    <col min="1" max="1" width="44.00390625" style="1" customWidth="1"/>
    <col min="2" max="2" width="14.140625" style="1" customWidth="1"/>
    <col min="3" max="4" width="14.421875" style="1" customWidth="1"/>
    <col min="5" max="5" width="14.7109375" style="1" customWidth="1"/>
    <col min="6" max="6" width="13.140625" style="1" customWidth="1"/>
    <col min="7" max="7" width="14.7109375" style="1" customWidth="1"/>
    <col min="8" max="8" width="4.8515625" style="1" customWidth="1"/>
    <col min="9" max="9" width="21.00390625" style="1" bestFit="1" customWidth="1"/>
    <col min="10" max="10" width="15.140625" style="1" bestFit="1" customWidth="1"/>
    <col min="11" max="16384" width="9.140625" style="1" customWidth="1"/>
  </cols>
  <sheetData>
    <row r="1" spans="1:7" ht="11.25">
      <c r="A1" s="318">
        <v>39853</v>
      </c>
      <c r="B1" s="32"/>
      <c r="C1" s="32"/>
      <c r="D1" s="32"/>
      <c r="E1" s="32"/>
      <c r="F1" s="32"/>
      <c r="G1" s="32"/>
    </row>
    <row r="2" spans="1:7" ht="11.25">
      <c r="A2" s="277" t="s">
        <v>0</v>
      </c>
      <c r="B2" s="32"/>
      <c r="C2" s="32"/>
      <c r="D2" s="32"/>
      <c r="E2" s="32"/>
      <c r="F2" s="32"/>
      <c r="G2" s="32"/>
    </row>
    <row r="3" spans="1:7" ht="11.25">
      <c r="A3" s="277" t="s">
        <v>167</v>
      </c>
      <c r="B3" s="32"/>
      <c r="C3" s="263"/>
      <c r="D3" s="32"/>
      <c r="E3" s="32"/>
      <c r="F3" s="263"/>
      <c r="G3" s="32"/>
    </row>
    <row r="4" spans="1:7" ht="12" thickBot="1">
      <c r="A4" s="32"/>
      <c r="B4" s="32"/>
      <c r="C4" s="32"/>
      <c r="D4" s="32"/>
      <c r="E4" s="32"/>
      <c r="F4" s="32"/>
      <c r="G4" s="32"/>
    </row>
    <row r="5" spans="1:7" ht="12.75">
      <c r="A5" s="3"/>
      <c r="B5" s="481" t="s">
        <v>175</v>
      </c>
      <c r="C5" s="482"/>
      <c r="D5" s="483"/>
      <c r="E5" s="481" t="s">
        <v>168</v>
      </c>
      <c r="F5" s="482"/>
      <c r="G5" s="483"/>
    </row>
    <row r="6" spans="1:8" ht="13.5" thickBot="1">
      <c r="A6" s="5" t="s">
        <v>2</v>
      </c>
      <c r="B6" s="484" t="s">
        <v>4</v>
      </c>
      <c r="C6" s="485"/>
      <c r="D6" s="486"/>
      <c r="E6" s="484" t="s">
        <v>4</v>
      </c>
      <c r="F6" s="485"/>
      <c r="G6" s="486"/>
      <c r="H6" s="317"/>
    </row>
    <row r="7" spans="1:9" ht="12" thickBot="1">
      <c r="A7" s="8"/>
      <c r="B7" s="447" t="s">
        <v>7</v>
      </c>
      <c r="C7" s="448" t="s">
        <v>8</v>
      </c>
      <c r="D7" s="449" t="s">
        <v>9</v>
      </c>
      <c r="E7" s="448" t="s">
        <v>7</v>
      </c>
      <c r="F7" s="450" t="s">
        <v>8</v>
      </c>
      <c r="G7" s="451" t="s">
        <v>9</v>
      </c>
      <c r="H7" s="310"/>
      <c r="I7" s="244"/>
    </row>
    <row r="8" spans="1:7" ht="11.25">
      <c r="A8" s="319"/>
      <c r="B8" s="320"/>
      <c r="C8" s="20" t="s">
        <v>12</v>
      </c>
      <c r="D8" s="22" t="s">
        <v>12</v>
      </c>
      <c r="E8" s="432" t="s">
        <v>12</v>
      </c>
      <c r="F8" s="20" t="s">
        <v>12</v>
      </c>
      <c r="G8" s="431" t="s">
        <v>12</v>
      </c>
    </row>
    <row r="9" spans="1:7" ht="11.25">
      <c r="A9" s="319"/>
      <c r="B9" s="321"/>
      <c r="C9" s="30"/>
      <c r="D9" s="182"/>
      <c r="E9" s="412"/>
      <c r="F9" s="30"/>
      <c r="G9" s="414"/>
    </row>
    <row r="10" spans="1:7" s="32" customFormat="1" ht="11.25">
      <c r="A10" s="322" t="s">
        <v>13</v>
      </c>
      <c r="B10" s="321"/>
      <c r="C10" s="30"/>
      <c r="D10" s="27"/>
      <c r="E10" s="412"/>
      <c r="F10" s="30"/>
      <c r="G10" s="414"/>
    </row>
    <row r="11" spans="1:9" s="158" customFormat="1" ht="12" thickBot="1">
      <c r="A11" s="323" t="s">
        <v>14</v>
      </c>
      <c r="B11" s="38">
        <f>SUM(B12:B23)</f>
        <v>6840553</v>
      </c>
      <c r="C11" s="38">
        <f>SUM(C12:C23)</f>
        <v>2263000</v>
      </c>
      <c r="D11" s="420">
        <f>SUM(D12:D23)</f>
        <v>9103553</v>
      </c>
      <c r="E11" s="408">
        <f>SUM(E12:E23)</f>
        <v>6840553</v>
      </c>
      <c r="F11" s="86">
        <f>SUM(F12:F23)</f>
        <v>2793000</v>
      </c>
      <c r="G11" s="117">
        <v>10608925</v>
      </c>
      <c r="H11" s="324">
        <v>0.04</v>
      </c>
      <c r="I11" s="221"/>
    </row>
    <row r="12" spans="1:7" ht="11.25">
      <c r="A12" s="325" t="s">
        <v>264</v>
      </c>
      <c r="B12" s="47">
        <v>1032221</v>
      </c>
      <c r="C12" s="327">
        <v>275000</v>
      </c>
      <c r="D12" s="419">
        <f>B12+C12</f>
        <v>1307221</v>
      </c>
      <c r="E12" s="47">
        <v>1032221</v>
      </c>
      <c r="F12" s="90">
        <v>350000</v>
      </c>
      <c r="G12" s="49">
        <f>E12+F12</f>
        <v>1382221</v>
      </c>
    </row>
    <row r="13" spans="1:7" ht="11.25">
      <c r="A13" s="337" t="s">
        <v>223</v>
      </c>
      <c r="B13" s="102">
        <v>210000</v>
      </c>
      <c r="C13" s="443"/>
      <c r="D13" s="150">
        <f aca="true" t="shared" si="0" ref="D13:D23">B13+C13</f>
        <v>210000</v>
      </c>
      <c r="E13" s="102">
        <v>210000</v>
      </c>
      <c r="F13" s="127"/>
      <c r="G13" s="343">
        <f aca="true" t="shared" si="1" ref="G13:G23">E13+F13</f>
        <v>210000</v>
      </c>
    </row>
    <row r="14" spans="1:7" ht="11.25">
      <c r="A14" s="188" t="s">
        <v>16</v>
      </c>
      <c r="B14" s="25">
        <v>721346</v>
      </c>
      <c r="C14" s="31">
        <v>140000</v>
      </c>
      <c r="D14" s="150">
        <f t="shared" si="0"/>
        <v>861346</v>
      </c>
      <c r="E14" s="25">
        <v>721346</v>
      </c>
      <c r="F14" s="30">
        <v>154000</v>
      </c>
      <c r="G14" s="343">
        <f t="shared" si="1"/>
        <v>875346</v>
      </c>
    </row>
    <row r="15" spans="1:9" ht="12" thickBot="1">
      <c r="A15" s="328" t="s">
        <v>39</v>
      </c>
      <c r="B15" s="62">
        <v>308412</v>
      </c>
      <c r="C15" s="330">
        <v>88000</v>
      </c>
      <c r="D15" s="420">
        <f t="shared" si="0"/>
        <v>396412</v>
      </c>
      <c r="E15" s="62">
        <v>308412</v>
      </c>
      <c r="F15" s="63">
        <v>88000</v>
      </c>
      <c r="G15" s="64">
        <f t="shared" si="1"/>
        <v>396412</v>
      </c>
      <c r="I15" s="158"/>
    </row>
    <row r="16" spans="1:7" ht="11.25">
      <c r="A16" s="188" t="s">
        <v>17</v>
      </c>
      <c r="B16" s="25">
        <v>786625</v>
      </c>
      <c r="C16" s="30">
        <v>170000</v>
      </c>
      <c r="D16" s="421">
        <f t="shared" si="0"/>
        <v>956625</v>
      </c>
      <c r="E16" s="25">
        <v>786625</v>
      </c>
      <c r="F16" s="30">
        <v>187000</v>
      </c>
      <c r="G16" s="151">
        <f t="shared" si="1"/>
        <v>973625</v>
      </c>
    </row>
    <row r="17" spans="1:7" ht="11.25">
      <c r="A17" s="188" t="s">
        <v>205</v>
      </c>
      <c r="B17" s="25"/>
      <c r="C17" s="30">
        <v>50000</v>
      </c>
      <c r="D17" s="421">
        <f t="shared" si="0"/>
        <v>50000</v>
      </c>
      <c r="E17" s="25"/>
      <c r="F17" s="30"/>
      <c r="G17" s="151"/>
    </row>
    <row r="18" spans="1:9" s="2" customFormat="1" ht="11.25">
      <c r="A18" s="144" t="s">
        <v>174</v>
      </c>
      <c r="B18" s="25">
        <v>560000</v>
      </c>
      <c r="C18" s="30"/>
      <c r="D18" s="421">
        <f t="shared" si="0"/>
        <v>560000</v>
      </c>
      <c r="E18" s="25">
        <v>560000</v>
      </c>
      <c r="F18" s="30">
        <v>120000</v>
      </c>
      <c r="G18" s="343">
        <f t="shared" si="1"/>
        <v>680000</v>
      </c>
      <c r="I18" s="281"/>
    </row>
    <row r="19" spans="1:9" ht="11.25">
      <c r="A19" s="188" t="s">
        <v>19</v>
      </c>
      <c r="B19" s="25">
        <v>2303668</v>
      </c>
      <c r="C19" s="30">
        <v>120000</v>
      </c>
      <c r="D19" s="421">
        <f t="shared" si="0"/>
        <v>2423668</v>
      </c>
      <c r="E19" s="25">
        <v>2303668</v>
      </c>
      <c r="F19" s="30">
        <v>132000</v>
      </c>
      <c r="G19" s="343">
        <f t="shared" si="1"/>
        <v>2435668</v>
      </c>
      <c r="I19" s="158"/>
    </row>
    <row r="20" spans="1:9" ht="11.25">
      <c r="A20" s="340" t="s">
        <v>221</v>
      </c>
      <c r="B20" s="72"/>
      <c r="C20" s="73"/>
      <c r="D20" s="150"/>
      <c r="E20" s="72"/>
      <c r="F20" s="73">
        <v>200000</v>
      </c>
      <c r="G20" s="343">
        <f t="shared" si="1"/>
        <v>200000</v>
      </c>
      <c r="I20" s="221" t="s">
        <v>239</v>
      </c>
    </row>
    <row r="21" spans="1:9" ht="12" thickBot="1">
      <c r="A21" s="328" t="s">
        <v>20</v>
      </c>
      <c r="B21" s="62"/>
      <c r="C21" s="63">
        <v>750000</v>
      </c>
      <c r="D21" s="399">
        <f t="shared" si="0"/>
        <v>750000</v>
      </c>
      <c r="E21" s="62"/>
      <c r="F21" s="63">
        <v>825000</v>
      </c>
      <c r="G21" s="64">
        <f t="shared" si="1"/>
        <v>825000</v>
      </c>
      <c r="I21" s="158"/>
    </row>
    <row r="22" spans="1:9" ht="11.25">
      <c r="A22" s="188" t="s">
        <v>21</v>
      </c>
      <c r="B22" s="25">
        <v>918281</v>
      </c>
      <c r="C22" s="30">
        <v>330000</v>
      </c>
      <c r="D22" s="150">
        <f t="shared" si="0"/>
        <v>1248281</v>
      </c>
      <c r="E22" s="25">
        <v>918281</v>
      </c>
      <c r="F22" s="30">
        <v>363000</v>
      </c>
      <c r="G22" s="151">
        <f t="shared" si="1"/>
        <v>1281281</v>
      </c>
      <c r="I22" s="158"/>
    </row>
    <row r="23" spans="1:9" ht="12" thickBot="1">
      <c r="A23" s="331" t="s">
        <v>22</v>
      </c>
      <c r="B23" s="329"/>
      <c r="C23" s="63">
        <v>340000</v>
      </c>
      <c r="D23" s="418">
        <f t="shared" si="0"/>
        <v>340000</v>
      </c>
      <c r="E23" s="436"/>
      <c r="F23" s="63">
        <v>374000</v>
      </c>
      <c r="G23" s="64">
        <f t="shared" si="1"/>
        <v>374000</v>
      </c>
      <c r="I23" s="332"/>
    </row>
    <row r="24" spans="1:10" ht="12" thickBot="1">
      <c r="A24" s="188" t="s">
        <v>40</v>
      </c>
      <c r="B24" s="25">
        <v>562872</v>
      </c>
      <c r="C24" s="30">
        <v>375000</v>
      </c>
      <c r="D24" s="421">
        <f>B24+C24</f>
        <v>937872</v>
      </c>
      <c r="E24" s="25">
        <v>562872</v>
      </c>
      <c r="F24" s="30">
        <v>412500</v>
      </c>
      <c r="G24" s="151">
        <f>E24+F24</f>
        <v>975372</v>
      </c>
      <c r="I24" s="158"/>
      <c r="J24" s="2"/>
    </row>
    <row r="25" spans="1:9" ht="11.25">
      <c r="A25" s="333"/>
      <c r="B25" s="47"/>
      <c r="C25" s="90"/>
      <c r="D25" s="120"/>
      <c r="E25" s="47"/>
      <c r="F25" s="437"/>
      <c r="G25" s="122"/>
      <c r="I25" s="158"/>
    </row>
    <row r="26" spans="1:9" s="158" customFormat="1" ht="12" thickBot="1">
      <c r="A26" s="334" t="s">
        <v>23</v>
      </c>
      <c r="B26" s="398">
        <f aca="true" t="shared" si="2" ref="B26:G26">SUM(B27:B32)</f>
        <v>8589283</v>
      </c>
      <c r="C26" s="398">
        <f t="shared" si="2"/>
        <v>1587154</v>
      </c>
      <c r="D26" s="420">
        <f t="shared" si="2"/>
        <v>10176437</v>
      </c>
      <c r="E26" s="335">
        <f t="shared" si="2"/>
        <v>8989283</v>
      </c>
      <c r="F26" s="399">
        <f t="shared" si="2"/>
        <v>1816500</v>
      </c>
      <c r="G26" s="64">
        <f t="shared" si="2"/>
        <v>10805783</v>
      </c>
      <c r="H26" s="324">
        <f>(G26-D26)/D26</f>
        <v>0.06184345267405478</v>
      </c>
      <c r="I26" s="221"/>
    </row>
    <row r="27" spans="1:9" ht="11.25">
      <c r="A27" s="325" t="s">
        <v>263</v>
      </c>
      <c r="B27" s="47">
        <v>977971</v>
      </c>
      <c r="C27" s="90">
        <v>265000</v>
      </c>
      <c r="D27" s="421">
        <f aca="true" t="shared" si="3" ref="D27:D32">B27+C27</f>
        <v>1242971</v>
      </c>
      <c r="E27" s="47">
        <v>977971</v>
      </c>
      <c r="F27" s="90">
        <v>291500</v>
      </c>
      <c r="G27" s="49">
        <f aca="true" t="shared" si="4" ref="G27:G32">E27+F27</f>
        <v>1269471</v>
      </c>
      <c r="I27" s="158"/>
    </row>
    <row r="28" spans="1:9" ht="11.25">
      <c r="A28" s="337" t="s">
        <v>223</v>
      </c>
      <c r="B28" s="102">
        <v>215786</v>
      </c>
      <c r="C28" s="127"/>
      <c r="D28" s="421">
        <f t="shared" si="3"/>
        <v>215786</v>
      </c>
      <c r="E28" s="102">
        <v>215786</v>
      </c>
      <c r="F28" s="127"/>
      <c r="G28" s="39">
        <f t="shared" si="4"/>
        <v>215786</v>
      </c>
      <c r="I28" s="158"/>
    </row>
    <row r="29" spans="1:9" ht="11.25">
      <c r="A29" s="188" t="s">
        <v>25</v>
      </c>
      <c r="B29" s="25">
        <v>1866059</v>
      </c>
      <c r="C29" s="30">
        <v>400000</v>
      </c>
      <c r="D29" s="421">
        <f t="shared" si="3"/>
        <v>2266059</v>
      </c>
      <c r="E29" s="25">
        <v>2266059</v>
      </c>
      <c r="F29" s="30">
        <v>440000</v>
      </c>
      <c r="G29" s="39">
        <f t="shared" si="4"/>
        <v>2706059</v>
      </c>
      <c r="I29" s="221"/>
    </row>
    <row r="30" spans="1:9" ht="11.25">
      <c r="A30" s="188" t="s">
        <v>26</v>
      </c>
      <c r="B30" s="25"/>
      <c r="C30" s="30">
        <v>350000</v>
      </c>
      <c r="D30" s="421">
        <f t="shared" si="3"/>
        <v>350000</v>
      </c>
      <c r="E30" s="25"/>
      <c r="F30" s="30">
        <v>385000</v>
      </c>
      <c r="G30" s="39">
        <f t="shared" si="4"/>
        <v>385000</v>
      </c>
      <c r="I30" s="158"/>
    </row>
    <row r="31" spans="1:9" ht="11.25">
      <c r="A31" s="188" t="s">
        <v>28</v>
      </c>
      <c r="B31" s="25">
        <v>3434732</v>
      </c>
      <c r="C31" s="30">
        <v>272904</v>
      </c>
      <c r="D31" s="421">
        <f t="shared" si="3"/>
        <v>3707636</v>
      </c>
      <c r="E31" s="25">
        <v>3434732</v>
      </c>
      <c r="F31" s="30">
        <v>350000</v>
      </c>
      <c r="G31" s="39">
        <f t="shared" si="4"/>
        <v>3784732</v>
      </c>
      <c r="I31" s="221"/>
    </row>
    <row r="32" spans="1:9" ht="12" thickBot="1">
      <c r="A32" s="336" t="s">
        <v>29</v>
      </c>
      <c r="B32" s="62">
        <v>2094735</v>
      </c>
      <c r="C32" s="63">
        <v>299250</v>
      </c>
      <c r="D32" s="421">
        <f t="shared" si="3"/>
        <v>2393985</v>
      </c>
      <c r="E32" s="62">
        <v>2094735</v>
      </c>
      <c r="F32" s="63">
        <v>350000</v>
      </c>
      <c r="G32" s="64">
        <f t="shared" si="4"/>
        <v>2444735</v>
      </c>
      <c r="I32" s="158"/>
    </row>
    <row r="33" spans="1:9" ht="11.25">
      <c r="A33" s="337"/>
      <c r="B33" s="47"/>
      <c r="C33" s="90"/>
      <c r="D33" s="120"/>
      <c r="E33" s="406"/>
      <c r="F33" s="90"/>
      <c r="G33" s="122"/>
      <c r="I33" s="158"/>
    </row>
    <row r="34" spans="1:9" s="158" customFormat="1" ht="12" thickBot="1">
      <c r="A34" s="334" t="s">
        <v>30</v>
      </c>
      <c r="B34" s="400">
        <f aca="true" t="shared" si="5" ref="B34:G34">SUM(B35:B38)</f>
        <v>3623828</v>
      </c>
      <c r="C34" s="86">
        <f t="shared" si="5"/>
        <v>4780000</v>
      </c>
      <c r="D34" s="399">
        <f t="shared" si="5"/>
        <v>8403828</v>
      </c>
      <c r="E34" s="85">
        <f t="shared" si="5"/>
        <v>3623828</v>
      </c>
      <c r="F34" s="86">
        <f t="shared" si="5"/>
        <v>5258000</v>
      </c>
      <c r="G34" s="401">
        <f t="shared" si="5"/>
        <v>8881828</v>
      </c>
      <c r="H34" s="324">
        <f>(G34-D34)/D34</f>
        <v>0.05687884140417914</v>
      </c>
      <c r="I34" s="221"/>
    </row>
    <row r="35" spans="1:9" ht="11.25">
      <c r="A35" s="340" t="s">
        <v>32</v>
      </c>
      <c r="B35" s="341">
        <v>3623828</v>
      </c>
      <c r="C35" s="73">
        <v>200000</v>
      </c>
      <c r="D35" s="421">
        <f>B35+C35</f>
        <v>3823828</v>
      </c>
      <c r="E35" s="72">
        <v>3623828</v>
      </c>
      <c r="F35" s="73">
        <v>220000</v>
      </c>
      <c r="G35" s="39">
        <f>E35+F35</f>
        <v>3843828</v>
      </c>
      <c r="I35" s="158"/>
    </row>
    <row r="36" spans="1:9" ht="11.25">
      <c r="A36" s="342" t="s">
        <v>164</v>
      </c>
      <c r="B36" s="341"/>
      <c r="C36" s="73">
        <v>3700000</v>
      </c>
      <c r="D36" s="421">
        <f>B36+C36</f>
        <v>3700000</v>
      </c>
      <c r="E36" s="72"/>
      <c r="F36" s="73">
        <v>4070000</v>
      </c>
      <c r="G36" s="39">
        <f>E36+F36</f>
        <v>4070000</v>
      </c>
      <c r="I36" s="158"/>
    </row>
    <row r="37" spans="1:9" ht="11.25">
      <c r="A37" s="340" t="s">
        <v>33</v>
      </c>
      <c r="B37" s="341"/>
      <c r="C37" s="73">
        <v>700000</v>
      </c>
      <c r="D37" s="421">
        <f>B37+C37</f>
        <v>700000</v>
      </c>
      <c r="E37" s="72"/>
      <c r="F37" s="73">
        <v>770000</v>
      </c>
      <c r="G37" s="39">
        <f>E37+F37</f>
        <v>770000</v>
      </c>
      <c r="I37" s="158"/>
    </row>
    <row r="38" spans="1:9" ht="12" thickBot="1">
      <c r="A38" s="342" t="s">
        <v>164</v>
      </c>
      <c r="B38" s="321"/>
      <c r="C38" s="30">
        <v>180000</v>
      </c>
      <c r="D38" s="421">
        <f>B38+C38</f>
        <v>180000</v>
      </c>
      <c r="E38" s="25"/>
      <c r="F38" s="30">
        <v>198000</v>
      </c>
      <c r="G38" s="343">
        <f>E38+F38</f>
        <v>198000</v>
      </c>
      <c r="I38" s="158"/>
    </row>
    <row r="39" spans="1:9" ht="11.25">
      <c r="A39" s="325"/>
      <c r="B39" s="326"/>
      <c r="C39" s="90"/>
      <c r="D39" s="120"/>
      <c r="E39" s="47"/>
      <c r="F39" s="90"/>
      <c r="G39" s="122"/>
      <c r="I39" s="158"/>
    </row>
    <row r="40" spans="1:9" s="221" customFormat="1" ht="12" thickBot="1">
      <c r="A40" s="323" t="s">
        <v>34</v>
      </c>
      <c r="B40" s="126">
        <f aca="true" t="shared" si="6" ref="B40:G40">SUM(B41:B45)</f>
        <v>3091982</v>
      </c>
      <c r="C40" s="126">
        <f t="shared" si="6"/>
        <v>1046000</v>
      </c>
      <c r="D40" s="420">
        <f t="shared" si="6"/>
        <v>4137982</v>
      </c>
      <c r="E40" s="438">
        <f t="shared" si="6"/>
        <v>3091982</v>
      </c>
      <c r="F40" s="126">
        <f t="shared" si="6"/>
        <v>1632000</v>
      </c>
      <c r="G40" s="452">
        <f t="shared" si="6"/>
        <v>4723982</v>
      </c>
      <c r="H40" s="324">
        <f>(G40-D40)/D40</f>
        <v>0.1416149224428719</v>
      </c>
      <c r="I40" s="221" t="s">
        <v>240</v>
      </c>
    </row>
    <row r="41" spans="1:9" ht="11.25">
      <c r="A41" s="325" t="s">
        <v>35</v>
      </c>
      <c r="B41" s="47">
        <v>721346</v>
      </c>
      <c r="C41" s="127">
        <v>186000</v>
      </c>
      <c r="D41" s="421">
        <f>B41+C41</f>
        <v>907346</v>
      </c>
      <c r="E41" s="47">
        <v>721346</v>
      </c>
      <c r="F41" s="90">
        <v>186000</v>
      </c>
      <c r="G41" s="49">
        <f>E41+F41</f>
        <v>907346</v>
      </c>
      <c r="I41" s="158"/>
    </row>
    <row r="42" spans="1:9" ht="11.25">
      <c r="A42" s="188" t="s">
        <v>36</v>
      </c>
      <c r="B42" s="25">
        <v>2181819</v>
      </c>
      <c r="C42" s="30">
        <v>800000</v>
      </c>
      <c r="D42" s="421">
        <f>B42+C42</f>
        <v>2981819</v>
      </c>
      <c r="E42" s="25">
        <v>2181819</v>
      </c>
      <c r="F42" s="30">
        <v>880000</v>
      </c>
      <c r="G42" s="39">
        <f>E42+F42</f>
        <v>3061819</v>
      </c>
      <c r="I42" s="158"/>
    </row>
    <row r="43" spans="1:9" ht="11.25">
      <c r="A43" s="340" t="s">
        <v>38</v>
      </c>
      <c r="B43" s="72">
        <v>188817</v>
      </c>
      <c r="C43" s="73">
        <v>60000</v>
      </c>
      <c r="D43" s="421">
        <f>B43+C43</f>
        <v>248817</v>
      </c>
      <c r="E43" s="72">
        <v>188817</v>
      </c>
      <c r="F43" s="73">
        <v>66000</v>
      </c>
      <c r="G43" s="39">
        <f>E43+F43</f>
        <v>254817</v>
      </c>
      <c r="I43" s="158"/>
    </row>
    <row r="44" spans="1:10" ht="11.25">
      <c r="A44" s="340" t="s">
        <v>285</v>
      </c>
      <c r="B44" s="465"/>
      <c r="C44" s="466"/>
      <c r="D44" s="150"/>
      <c r="E44" s="467"/>
      <c r="F44" s="73">
        <v>100000</v>
      </c>
      <c r="G44" s="151">
        <f>E44+F44</f>
        <v>100000</v>
      </c>
      <c r="I44" s="158"/>
      <c r="J44" s="2"/>
    </row>
    <row r="45" spans="1:10" ht="12" thickBot="1">
      <c r="A45" s="328" t="s">
        <v>170</v>
      </c>
      <c r="B45" s="344"/>
      <c r="C45" s="330"/>
      <c r="D45" s="399"/>
      <c r="E45" s="425"/>
      <c r="F45" s="63">
        <v>400000</v>
      </c>
      <c r="G45" s="64">
        <f>E45+F45</f>
        <v>400000</v>
      </c>
      <c r="I45" s="158"/>
      <c r="J45" s="2"/>
    </row>
    <row r="46" spans="1:9" ht="11.25">
      <c r="A46" s="333"/>
      <c r="B46" s="345"/>
      <c r="C46" s="79"/>
      <c r="D46" s="80"/>
      <c r="E46" s="78"/>
      <c r="F46" s="79"/>
      <c r="G46" s="82"/>
      <c r="I46" s="158"/>
    </row>
    <row r="47" spans="1:9" s="158" customFormat="1" ht="12" thickBot="1">
      <c r="A47" s="323" t="s">
        <v>41</v>
      </c>
      <c r="B47" s="126">
        <f aca="true" t="shared" si="7" ref="B47:G47">SUM(B48:B52)</f>
        <v>3575777</v>
      </c>
      <c r="C47" s="126">
        <f t="shared" si="7"/>
        <v>3190000</v>
      </c>
      <c r="D47" s="407">
        <f t="shared" si="7"/>
        <v>6765777</v>
      </c>
      <c r="E47" s="85">
        <f t="shared" si="7"/>
        <v>3575777</v>
      </c>
      <c r="F47" s="126">
        <f t="shared" si="7"/>
        <v>3576000</v>
      </c>
      <c r="G47" s="402">
        <f t="shared" si="7"/>
        <v>7151777</v>
      </c>
      <c r="H47" s="324">
        <f>(G47-D47)/D47</f>
        <v>0.05705183602711115</v>
      </c>
      <c r="I47" s="221" t="s">
        <v>241</v>
      </c>
    </row>
    <row r="48" spans="1:9" ht="11.25">
      <c r="A48" s="325" t="s">
        <v>42</v>
      </c>
      <c r="B48" s="326">
        <v>1567626</v>
      </c>
      <c r="C48" s="90">
        <v>450000</v>
      </c>
      <c r="D48" s="421">
        <f>B48+C48</f>
        <v>2017626</v>
      </c>
      <c r="E48" s="47">
        <v>1567626</v>
      </c>
      <c r="F48" s="90">
        <v>440000</v>
      </c>
      <c r="G48" s="49">
        <f>E48+F48</f>
        <v>2007626</v>
      </c>
      <c r="I48" s="158"/>
    </row>
    <row r="49" spans="1:9" ht="11.25">
      <c r="A49" s="188" t="s">
        <v>41</v>
      </c>
      <c r="B49" s="321">
        <v>762417</v>
      </c>
      <c r="C49" s="30">
        <v>400000</v>
      </c>
      <c r="D49" s="421">
        <f>B49+C49</f>
        <v>1162417</v>
      </c>
      <c r="E49" s="25">
        <v>762417</v>
      </c>
      <c r="F49" s="30">
        <v>340000</v>
      </c>
      <c r="G49" s="39">
        <f>E49+F49</f>
        <v>1102417</v>
      </c>
      <c r="I49" s="158"/>
    </row>
    <row r="50" spans="1:9" ht="11.25">
      <c r="A50" s="188" t="s">
        <v>43</v>
      </c>
      <c r="B50" s="321"/>
      <c r="C50" s="30">
        <v>1500000</v>
      </c>
      <c r="D50" s="421">
        <f>B50+C50</f>
        <v>1500000</v>
      </c>
      <c r="E50" s="25"/>
      <c r="F50" s="30">
        <v>1900000</v>
      </c>
      <c r="G50" s="39">
        <f>E50+F50</f>
        <v>1900000</v>
      </c>
      <c r="I50" s="158"/>
    </row>
    <row r="51" spans="1:9" ht="11.25">
      <c r="A51" s="188" t="s">
        <v>44</v>
      </c>
      <c r="B51" s="138">
        <v>1245734</v>
      </c>
      <c r="C51" s="31">
        <v>680000</v>
      </c>
      <c r="D51" s="421">
        <f>B51+C51</f>
        <v>1925734</v>
      </c>
      <c r="E51" s="412">
        <v>1245734</v>
      </c>
      <c r="F51" s="31">
        <v>720000</v>
      </c>
      <c r="G51" s="39">
        <f>E51+F51</f>
        <v>1965734</v>
      </c>
      <c r="I51" s="221"/>
    </row>
    <row r="52" spans="1:9" ht="12" thickBot="1">
      <c r="A52" s="468" t="s">
        <v>288</v>
      </c>
      <c r="B52" s="329"/>
      <c r="C52" s="63">
        <v>160000</v>
      </c>
      <c r="D52" s="399">
        <f>B52+C52</f>
        <v>160000</v>
      </c>
      <c r="E52" s="62"/>
      <c r="F52" s="63">
        <v>176000</v>
      </c>
      <c r="G52" s="64">
        <f>E52+F52</f>
        <v>176000</v>
      </c>
      <c r="I52" s="158"/>
    </row>
    <row r="53" spans="1:9" ht="11.25">
      <c r="A53" s="337"/>
      <c r="B53" s="338"/>
      <c r="C53" s="127"/>
      <c r="D53" s="120"/>
      <c r="E53" s="102"/>
      <c r="F53" s="127"/>
      <c r="G53" s="106"/>
      <c r="I53" s="158"/>
    </row>
    <row r="54" spans="1:9" s="158" customFormat="1" ht="12" thickBot="1">
      <c r="A54" s="323" t="s">
        <v>46</v>
      </c>
      <c r="B54" s="86">
        <f>SUM(B55:B69)</f>
        <v>5900566</v>
      </c>
      <c r="C54" s="86">
        <f>C55+C57+C58+C59+C60+C61+C62+C63+C68+C69</f>
        <v>2040000</v>
      </c>
      <c r="D54" s="420">
        <f>SUM(D55:D69)</f>
        <v>7940566</v>
      </c>
      <c r="E54" s="85">
        <f>SUM(E55:E69)</f>
        <v>5900566</v>
      </c>
      <c r="F54" s="86">
        <f>F55+F57+F58+F59+F60+F61+F62+F63+F68+F69</f>
        <v>2300000</v>
      </c>
      <c r="G54" s="39">
        <f>SUM(G55:G69)</f>
        <v>8200566</v>
      </c>
      <c r="H54" s="324">
        <f>(G54-D54)/D54</f>
        <v>0.032743257848370004</v>
      </c>
      <c r="I54" s="221" t="s">
        <v>242</v>
      </c>
    </row>
    <row r="55" spans="1:9" ht="11.25">
      <c r="A55" s="325" t="s">
        <v>263</v>
      </c>
      <c r="B55" s="47">
        <v>970207</v>
      </c>
      <c r="C55" s="90">
        <v>140000</v>
      </c>
      <c r="D55" s="421">
        <f aca="true" t="shared" si="8" ref="D55:D71">B55+C55</f>
        <v>1110207</v>
      </c>
      <c r="E55" s="47">
        <v>970207</v>
      </c>
      <c r="F55" s="90">
        <v>140000</v>
      </c>
      <c r="G55" s="110">
        <f aca="true" t="shared" si="9" ref="G55:G69">E55+F55</f>
        <v>1110207</v>
      </c>
      <c r="I55" s="158"/>
    </row>
    <row r="56" spans="1:9" ht="11.25">
      <c r="A56" s="333" t="s">
        <v>223</v>
      </c>
      <c r="B56" s="78">
        <v>222000</v>
      </c>
      <c r="C56" s="79"/>
      <c r="D56" s="421">
        <f t="shared" si="8"/>
        <v>222000</v>
      </c>
      <c r="E56" s="78">
        <v>222000</v>
      </c>
      <c r="F56" s="79"/>
      <c r="G56" s="39">
        <f t="shared" si="9"/>
        <v>222000</v>
      </c>
      <c r="I56" s="158"/>
    </row>
    <row r="57" spans="1:9" ht="11.25">
      <c r="A57" s="340" t="s">
        <v>48</v>
      </c>
      <c r="B57" s="341"/>
      <c r="C57" s="73">
        <v>560000</v>
      </c>
      <c r="D57" s="421">
        <f t="shared" si="8"/>
        <v>560000</v>
      </c>
      <c r="E57" s="72"/>
      <c r="F57" s="73">
        <v>720000</v>
      </c>
      <c r="G57" s="39">
        <f t="shared" si="9"/>
        <v>720000</v>
      </c>
      <c r="I57" s="221"/>
    </row>
    <row r="58" spans="1:9" ht="11.25">
      <c r="A58" s="188" t="s">
        <v>234</v>
      </c>
      <c r="B58" s="321"/>
      <c r="C58" s="30">
        <v>100000</v>
      </c>
      <c r="D58" s="421">
        <f t="shared" si="8"/>
        <v>100000</v>
      </c>
      <c r="E58" s="25"/>
      <c r="F58" s="30">
        <v>100000</v>
      </c>
      <c r="G58" s="39">
        <f t="shared" si="9"/>
        <v>100000</v>
      </c>
      <c r="I58" s="158"/>
    </row>
    <row r="59" spans="1:9" ht="11.25">
      <c r="A59" s="188" t="s">
        <v>233</v>
      </c>
      <c r="B59" s="321"/>
      <c r="C59" s="30">
        <v>200000</v>
      </c>
      <c r="D59" s="421">
        <f t="shared" si="8"/>
        <v>200000</v>
      </c>
      <c r="E59" s="25"/>
      <c r="F59" s="30">
        <v>200000</v>
      </c>
      <c r="G59" s="39">
        <f t="shared" si="9"/>
        <v>200000</v>
      </c>
      <c r="I59" s="158"/>
    </row>
    <row r="60" spans="1:9" ht="11.25">
      <c r="A60" s="188" t="s">
        <v>231</v>
      </c>
      <c r="B60" s="321"/>
      <c r="C60" s="30">
        <v>30000</v>
      </c>
      <c r="D60" s="421">
        <f t="shared" si="8"/>
        <v>30000</v>
      </c>
      <c r="E60" s="25"/>
      <c r="F60" s="30">
        <v>55000</v>
      </c>
      <c r="G60" s="39">
        <f t="shared" si="9"/>
        <v>55000</v>
      </c>
      <c r="I60" s="158"/>
    </row>
    <row r="61" spans="1:9" ht="11.25">
      <c r="A61" s="188" t="s">
        <v>52</v>
      </c>
      <c r="B61" s="321"/>
      <c r="C61" s="30">
        <v>50000</v>
      </c>
      <c r="D61" s="421">
        <f t="shared" si="8"/>
        <v>50000</v>
      </c>
      <c r="E61" s="25"/>
      <c r="F61" s="30">
        <v>0</v>
      </c>
      <c r="G61" s="39">
        <f t="shared" si="9"/>
        <v>0</v>
      </c>
      <c r="I61" s="158"/>
    </row>
    <row r="62" spans="1:9" ht="11.25">
      <c r="A62" s="144" t="s">
        <v>53</v>
      </c>
      <c r="B62" s="146"/>
      <c r="C62" s="30">
        <v>150000</v>
      </c>
      <c r="D62" s="421">
        <f t="shared" si="8"/>
        <v>150000</v>
      </c>
      <c r="E62" s="426"/>
      <c r="F62" s="30">
        <v>150000</v>
      </c>
      <c r="G62" s="39">
        <f t="shared" si="9"/>
        <v>150000</v>
      </c>
      <c r="I62" s="158"/>
    </row>
    <row r="63" spans="1:9" ht="11.25">
      <c r="A63" s="188" t="s">
        <v>235</v>
      </c>
      <c r="B63" s="25">
        <v>2674761</v>
      </c>
      <c r="C63" s="30">
        <v>200000</v>
      </c>
      <c r="D63" s="421">
        <f t="shared" si="8"/>
        <v>2874761</v>
      </c>
      <c r="E63" s="25">
        <v>2674761</v>
      </c>
      <c r="F63" s="30">
        <v>200000</v>
      </c>
      <c r="G63" s="39">
        <f t="shared" si="9"/>
        <v>2874761</v>
      </c>
      <c r="I63" s="158"/>
    </row>
    <row r="64" spans="1:9" ht="11.25">
      <c r="A64" s="342" t="s">
        <v>217</v>
      </c>
      <c r="B64" s="321"/>
      <c r="C64" s="30">
        <v>200000</v>
      </c>
      <c r="D64" s="421"/>
      <c r="E64" s="25"/>
      <c r="F64" s="30">
        <v>240000</v>
      </c>
      <c r="G64" s="39"/>
      <c r="I64" s="158"/>
    </row>
    <row r="65" spans="1:9" ht="11.25">
      <c r="A65" s="342" t="s">
        <v>220</v>
      </c>
      <c r="B65" s="321"/>
      <c r="C65" s="30">
        <v>100000</v>
      </c>
      <c r="D65" s="421"/>
      <c r="E65" s="25"/>
      <c r="F65" s="30">
        <v>100000</v>
      </c>
      <c r="G65" s="39"/>
      <c r="I65" s="158"/>
    </row>
    <row r="66" spans="1:9" ht="11.25">
      <c r="A66" s="342" t="s">
        <v>219</v>
      </c>
      <c r="B66" s="321"/>
      <c r="C66" s="30">
        <v>600000</v>
      </c>
      <c r="D66" s="421"/>
      <c r="E66" s="25"/>
      <c r="F66" s="30">
        <v>900000</v>
      </c>
      <c r="G66" s="39"/>
      <c r="I66" s="158"/>
    </row>
    <row r="67" spans="1:9" ht="11.25">
      <c r="A67" s="342" t="s">
        <v>218</v>
      </c>
      <c r="B67" s="321"/>
      <c r="C67" s="30">
        <v>150000</v>
      </c>
      <c r="D67" s="421"/>
      <c r="E67" s="25"/>
      <c r="F67" s="30">
        <v>220000</v>
      </c>
      <c r="G67" s="39"/>
      <c r="I67" s="158"/>
    </row>
    <row r="68" spans="1:9" ht="11.25">
      <c r="A68" s="188" t="s">
        <v>232</v>
      </c>
      <c r="B68" s="321">
        <v>2033598</v>
      </c>
      <c r="C68" s="30">
        <v>160000</v>
      </c>
      <c r="D68" s="421">
        <f t="shared" si="8"/>
        <v>2193598</v>
      </c>
      <c r="E68" s="25">
        <v>2033598</v>
      </c>
      <c r="F68" s="30">
        <v>160000</v>
      </c>
      <c r="G68" s="39">
        <f t="shared" si="9"/>
        <v>2193598</v>
      </c>
      <c r="I68" s="158"/>
    </row>
    <row r="69" spans="1:9" s="2" customFormat="1" ht="12" thickBot="1">
      <c r="A69" s="144" t="s">
        <v>265</v>
      </c>
      <c r="B69" s="346"/>
      <c r="C69" s="63">
        <v>450000</v>
      </c>
      <c r="D69" s="399">
        <f t="shared" si="8"/>
        <v>450000</v>
      </c>
      <c r="E69" s="347"/>
      <c r="F69" s="63">
        <v>575000</v>
      </c>
      <c r="G69" s="64">
        <f t="shared" si="9"/>
        <v>575000</v>
      </c>
      <c r="I69" s="281"/>
    </row>
    <row r="70" spans="1:9" ht="11.25">
      <c r="A70" s="319"/>
      <c r="B70" s="403"/>
      <c r="C70" s="404"/>
      <c r="D70" s="404"/>
      <c r="E70" s="406"/>
      <c r="F70" s="404"/>
      <c r="G70" s="405"/>
      <c r="I70" s="158"/>
    </row>
    <row r="71" spans="1:9" ht="12" thickBot="1">
      <c r="A71" s="430" t="s">
        <v>59</v>
      </c>
      <c r="B71" s="438">
        <f aca="true" t="shared" si="10" ref="B71:G71">SUM(B72:B80)</f>
        <v>6307131</v>
      </c>
      <c r="C71" s="348">
        <f t="shared" si="10"/>
        <v>9440000</v>
      </c>
      <c r="D71" s="150">
        <f t="shared" si="8"/>
        <v>15747131</v>
      </c>
      <c r="E71" s="439">
        <f t="shared" si="10"/>
        <v>6307131</v>
      </c>
      <c r="F71" s="125">
        <f t="shared" si="10"/>
        <v>10304000</v>
      </c>
      <c r="G71" s="39">
        <f t="shared" si="10"/>
        <v>16611131</v>
      </c>
      <c r="H71" s="324">
        <f>(G71-D71)/D71</f>
        <v>0.05486713738521639</v>
      </c>
      <c r="I71" s="158"/>
    </row>
    <row r="72" spans="1:9" ht="11.25">
      <c r="A72" s="333" t="s">
        <v>263</v>
      </c>
      <c r="B72" s="102">
        <v>970207</v>
      </c>
      <c r="C72" s="127">
        <v>170000</v>
      </c>
      <c r="D72" s="421">
        <f>B72+C72</f>
        <v>1140207</v>
      </c>
      <c r="E72" s="102">
        <v>970207</v>
      </c>
      <c r="F72" s="127">
        <v>170000</v>
      </c>
      <c r="G72" s="151">
        <f aca="true" t="shared" si="11" ref="G72:G80">E72+F72</f>
        <v>1140207</v>
      </c>
      <c r="I72" s="158"/>
    </row>
    <row r="73" spans="1:9" ht="11.25">
      <c r="A73" s="333" t="s">
        <v>223</v>
      </c>
      <c r="B73" s="78">
        <v>232850</v>
      </c>
      <c r="C73" s="127"/>
      <c r="D73" s="421">
        <f>B73+C73</f>
        <v>232850</v>
      </c>
      <c r="E73" s="78">
        <v>232850</v>
      </c>
      <c r="F73" s="79"/>
      <c r="G73" s="151">
        <f t="shared" si="11"/>
        <v>232850</v>
      </c>
      <c r="I73" s="158"/>
    </row>
    <row r="74" spans="1:9" ht="11.25">
      <c r="A74" s="340" t="s">
        <v>224</v>
      </c>
      <c r="B74" s="25">
        <v>4485624</v>
      </c>
      <c r="C74" s="30">
        <v>340000</v>
      </c>
      <c r="D74" s="423">
        <f>B74+C74</f>
        <v>4825624</v>
      </c>
      <c r="E74" s="72">
        <v>4485624</v>
      </c>
      <c r="F74" s="73">
        <v>220000</v>
      </c>
      <c r="G74" s="39">
        <f t="shared" si="11"/>
        <v>4705624</v>
      </c>
      <c r="I74" s="221"/>
    </row>
    <row r="75" spans="1:9" ht="11.25">
      <c r="A75" s="445" t="s">
        <v>163</v>
      </c>
      <c r="B75" s="25"/>
      <c r="C75" s="30">
        <v>1500000</v>
      </c>
      <c r="D75" s="423"/>
      <c r="E75" s="72"/>
      <c r="F75" s="73">
        <v>1400000</v>
      </c>
      <c r="G75" s="39">
        <f t="shared" si="11"/>
        <v>1400000</v>
      </c>
      <c r="I75" s="221"/>
    </row>
    <row r="76" spans="1:9" ht="11.25">
      <c r="A76" s="340" t="s">
        <v>236</v>
      </c>
      <c r="B76" s="25"/>
      <c r="C76" s="30">
        <v>1400000</v>
      </c>
      <c r="D76" s="423"/>
      <c r="E76" s="72"/>
      <c r="F76" s="73">
        <v>1540000</v>
      </c>
      <c r="G76" s="39">
        <f t="shared" si="11"/>
        <v>1540000</v>
      </c>
      <c r="I76" s="221"/>
    </row>
    <row r="77" spans="1:9" ht="11.25">
      <c r="A77" s="340" t="s">
        <v>222</v>
      </c>
      <c r="B77" s="25"/>
      <c r="C77" s="30">
        <v>1600000</v>
      </c>
      <c r="D77" s="423"/>
      <c r="E77" s="72"/>
      <c r="F77" s="73">
        <v>1800000</v>
      </c>
      <c r="G77" s="39">
        <f t="shared" si="11"/>
        <v>1800000</v>
      </c>
      <c r="I77" s="221"/>
    </row>
    <row r="78" spans="1:9" ht="11.25">
      <c r="A78" s="340" t="s">
        <v>238</v>
      </c>
      <c r="B78" s="25"/>
      <c r="C78" s="30">
        <f>900000+1500000</f>
        <v>2400000</v>
      </c>
      <c r="D78" s="423"/>
      <c r="E78" s="72"/>
      <c r="F78" s="73">
        <v>2620000</v>
      </c>
      <c r="G78" s="39">
        <f t="shared" si="11"/>
        <v>2620000</v>
      </c>
      <c r="I78" s="221"/>
    </row>
    <row r="79" spans="1:9" ht="11.25">
      <c r="A79" s="340" t="s">
        <v>237</v>
      </c>
      <c r="B79" s="25"/>
      <c r="C79" s="30">
        <v>1800000</v>
      </c>
      <c r="D79" s="423"/>
      <c r="E79" s="72"/>
      <c r="F79" s="73">
        <v>2304000</v>
      </c>
      <c r="G79" s="39">
        <f t="shared" si="11"/>
        <v>2304000</v>
      </c>
      <c r="I79" s="221"/>
    </row>
    <row r="80" spans="1:9" ht="12" thickBot="1">
      <c r="A80" s="188" t="s">
        <v>37</v>
      </c>
      <c r="B80" s="62">
        <v>618450</v>
      </c>
      <c r="C80" s="63">
        <v>230000</v>
      </c>
      <c r="D80" s="399">
        <f>B80+C80</f>
        <v>848450</v>
      </c>
      <c r="E80" s="62">
        <v>618450</v>
      </c>
      <c r="F80" s="73">
        <v>250000</v>
      </c>
      <c r="G80" s="64">
        <f t="shared" si="11"/>
        <v>868450</v>
      </c>
      <c r="I80" s="158"/>
    </row>
    <row r="81" spans="1:9" ht="11.25">
      <c r="A81" s="333"/>
      <c r="B81" s="47"/>
      <c r="C81" s="90"/>
      <c r="D81" s="422"/>
      <c r="E81" s="403"/>
      <c r="F81" s="90"/>
      <c r="G81" s="49"/>
      <c r="I81" s="158"/>
    </row>
    <row r="82" spans="1:9" s="158" customFormat="1" ht="12" thickBot="1">
      <c r="A82" s="323" t="s">
        <v>63</v>
      </c>
      <c r="B82" s="126">
        <f aca="true" t="shared" si="12" ref="B82:G82">SUM(B83:B92)</f>
        <v>3677775</v>
      </c>
      <c r="C82" s="126">
        <f t="shared" si="12"/>
        <v>2800000</v>
      </c>
      <c r="D82" s="420">
        <f t="shared" si="12"/>
        <v>6477775</v>
      </c>
      <c r="E82" s="154">
        <f t="shared" si="12"/>
        <v>3986187</v>
      </c>
      <c r="F82" s="348">
        <f t="shared" si="12"/>
        <v>3460000</v>
      </c>
      <c r="G82" s="349">
        <f t="shared" si="12"/>
        <v>7446187</v>
      </c>
      <c r="H82" s="324">
        <f>(G82-D82)/D82</f>
        <v>0.14949762842951475</v>
      </c>
      <c r="I82" s="221" t="s">
        <v>243</v>
      </c>
    </row>
    <row r="83" spans="1:9" ht="11.25">
      <c r="A83" s="144" t="s">
        <v>65</v>
      </c>
      <c r="B83" s="326">
        <v>3677775</v>
      </c>
      <c r="C83" s="90"/>
      <c r="D83" s="421">
        <f>B83+C83</f>
        <v>3677775</v>
      </c>
      <c r="E83" s="25">
        <v>3677775</v>
      </c>
      <c r="F83" s="30">
        <v>100000</v>
      </c>
      <c r="G83" s="39">
        <f>E83+F83</f>
        <v>3777775</v>
      </c>
      <c r="I83" s="158"/>
    </row>
    <row r="84" spans="1:9" ht="11.25">
      <c r="A84" s="144" t="s">
        <v>225</v>
      </c>
      <c r="B84" s="338"/>
      <c r="C84" s="30">
        <v>112500</v>
      </c>
      <c r="D84" s="421">
        <f aca="true" t="shared" si="13" ref="D84:D89">B84+C84</f>
        <v>112500</v>
      </c>
      <c r="E84" s="25"/>
      <c r="F84" s="30">
        <v>120000</v>
      </c>
      <c r="G84" s="39">
        <f aca="true" t="shared" si="14" ref="G84:G89">E84+F84</f>
        <v>120000</v>
      </c>
      <c r="I84" s="158"/>
    </row>
    <row r="85" spans="1:9" ht="11.25">
      <c r="A85" s="144" t="s">
        <v>226</v>
      </c>
      <c r="B85" s="338"/>
      <c r="C85" s="30">
        <v>172500</v>
      </c>
      <c r="D85" s="421">
        <f t="shared" si="13"/>
        <v>172500</v>
      </c>
      <c r="E85" s="25"/>
      <c r="F85" s="30">
        <v>200000</v>
      </c>
      <c r="G85" s="39">
        <f t="shared" si="14"/>
        <v>200000</v>
      </c>
      <c r="I85" s="158"/>
    </row>
    <row r="86" spans="1:9" ht="11.25">
      <c r="A86" s="144" t="s">
        <v>227</v>
      </c>
      <c r="B86" s="338"/>
      <c r="C86" s="30">
        <v>337500</v>
      </c>
      <c r="D86" s="421">
        <f t="shared" si="13"/>
        <v>337500</v>
      </c>
      <c r="E86" s="25"/>
      <c r="F86" s="30">
        <v>337500</v>
      </c>
      <c r="G86" s="39">
        <f t="shared" si="14"/>
        <v>337500</v>
      </c>
      <c r="I86" s="158"/>
    </row>
    <row r="87" spans="1:9" ht="11.25">
      <c r="A87" s="144" t="s">
        <v>228</v>
      </c>
      <c r="B87" s="338"/>
      <c r="C87" s="30">
        <v>177500</v>
      </c>
      <c r="D87" s="421">
        <f t="shared" si="13"/>
        <v>177500</v>
      </c>
      <c r="E87" s="25"/>
      <c r="F87" s="30">
        <v>177500</v>
      </c>
      <c r="G87" s="39">
        <f t="shared" si="14"/>
        <v>177500</v>
      </c>
      <c r="I87" s="158"/>
    </row>
    <row r="88" spans="1:9" ht="11.25">
      <c r="A88" s="144" t="s">
        <v>230</v>
      </c>
      <c r="B88" s="338"/>
      <c r="C88" s="30">
        <v>200000</v>
      </c>
      <c r="D88" s="421">
        <f t="shared" si="13"/>
        <v>200000</v>
      </c>
      <c r="E88" s="25"/>
      <c r="F88" s="30">
        <v>200000</v>
      </c>
      <c r="G88" s="39">
        <f t="shared" si="14"/>
        <v>200000</v>
      </c>
      <c r="I88" s="158"/>
    </row>
    <row r="89" spans="1:9" ht="11.25">
      <c r="A89" s="144" t="s">
        <v>229</v>
      </c>
      <c r="B89" s="338"/>
      <c r="C89" s="127"/>
      <c r="D89" s="421">
        <f t="shared" si="13"/>
        <v>0</v>
      </c>
      <c r="E89" s="25"/>
      <c r="F89" s="30">
        <v>410000</v>
      </c>
      <c r="G89" s="39">
        <f t="shared" si="14"/>
        <v>410000</v>
      </c>
      <c r="I89" s="158"/>
    </row>
    <row r="90" spans="1:9" ht="11.25">
      <c r="A90" s="188" t="s">
        <v>159</v>
      </c>
      <c r="B90" s="321"/>
      <c r="C90" s="30">
        <v>50000</v>
      </c>
      <c r="D90" s="421">
        <f>B90+C90</f>
        <v>50000</v>
      </c>
      <c r="E90" s="25">
        <v>308412</v>
      </c>
      <c r="F90" s="30">
        <v>85000</v>
      </c>
      <c r="G90" s="39">
        <f>E90+F90</f>
        <v>393412</v>
      </c>
      <c r="I90" s="158"/>
    </row>
    <row r="91" spans="1:9" ht="11.25">
      <c r="A91" s="188" t="s">
        <v>66</v>
      </c>
      <c r="B91" s="321"/>
      <c r="C91" s="30">
        <v>400000</v>
      </c>
      <c r="D91" s="421">
        <f>B91+C91</f>
        <v>400000</v>
      </c>
      <c r="E91" s="25"/>
      <c r="F91" s="30">
        <v>430000</v>
      </c>
      <c r="G91" s="39">
        <f>E91+F91</f>
        <v>430000</v>
      </c>
      <c r="I91" s="158"/>
    </row>
    <row r="92" spans="1:9" ht="12" thickBot="1">
      <c r="A92" s="328" t="s">
        <v>67</v>
      </c>
      <c r="B92" s="329"/>
      <c r="C92" s="63">
        <v>1350000</v>
      </c>
      <c r="D92" s="421">
        <f>B92+C92</f>
        <v>1350000</v>
      </c>
      <c r="E92" s="62"/>
      <c r="F92" s="63">
        <v>1400000</v>
      </c>
      <c r="G92" s="39">
        <f>E92+F92</f>
        <v>1400000</v>
      </c>
      <c r="I92" s="158"/>
    </row>
    <row r="93" spans="1:9" ht="11.25">
      <c r="A93" s="325"/>
      <c r="B93" s="326"/>
      <c r="C93" s="90"/>
      <c r="D93" s="120"/>
      <c r="E93" s="47"/>
      <c r="F93" s="339"/>
      <c r="G93" s="122"/>
      <c r="I93" s="158"/>
    </row>
    <row r="94" spans="1:8" s="158" customFormat="1" ht="12" thickBot="1">
      <c r="A94" s="323" t="s">
        <v>68</v>
      </c>
      <c r="B94" s="126">
        <f>SUM(B95:B95)</f>
        <v>1033546</v>
      </c>
      <c r="C94" s="407">
        <f>SUM(C95:C95)</f>
        <v>280000</v>
      </c>
      <c r="D94" s="399">
        <f>SUM(D95:D96)</f>
        <v>1313546</v>
      </c>
      <c r="E94" s="408">
        <f>SUM(E95:E96)</f>
        <v>1033546</v>
      </c>
      <c r="F94" s="86">
        <f>SUM(F95:F96)</f>
        <v>280000</v>
      </c>
      <c r="G94" s="64">
        <f>SUM(G95:G96)</f>
        <v>1313546</v>
      </c>
      <c r="H94" s="324">
        <f>(G94-D94)/D94</f>
        <v>0</v>
      </c>
    </row>
    <row r="95" spans="1:7" s="158" customFormat="1" ht="11.25">
      <c r="A95" s="325" t="s">
        <v>69</v>
      </c>
      <c r="B95" s="338">
        <v>1033546</v>
      </c>
      <c r="C95" s="127">
        <v>280000</v>
      </c>
      <c r="D95" s="421">
        <f>B95+C95</f>
        <v>1313546</v>
      </c>
      <c r="E95" s="47">
        <v>1033546</v>
      </c>
      <c r="F95" s="90">
        <v>280000</v>
      </c>
      <c r="G95" s="49">
        <f>E95+F95</f>
        <v>1313546</v>
      </c>
    </row>
    <row r="96" spans="1:9" ht="11.25">
      <c r="A96" s="350"/>
      <c r="B96" s="338"/>
      <c r="C96" s="127"/>
      <c r="D96" s="182"/>
      <c r="E96" s="102"/>
      <c r="F96" s="127"/>
      <c r="G96" s="106"/>
      <c r="I96" s="158"/>
    </row>
    <row r="97" spans="1:9" s="158" customFormat="1" ht="12" thickBot="1">
      <c r="A97" s="323" t="s">
        <v>71</v>
      </c>
      <c r="B97" s="126">
        <f aca="true" t="shared" si="15" ref="B97:G97">SUM(B98:B99)</f>
        <v>608478</v>
      </c>
      <c r="C97" s="126">
        <f t="shared" si="15"/>
        <v>273000</v>
      </c>
      <c r="D97" s="420">
        <f t="shared" si="15"/>
        <v>881478</v>
      </c>
      <c r="E97" s="37">
        <f t="shared" si="15"/>
        <v>608478</v>
      </c>
      <c r="F97" s="125">
        <f t="shared" si="15"/>
        <v>273000</v>
      </c>
      <c r="G97" s="39">
        <f t="shared" si="15"/>
        <v>881478</v>
      </c>
      <c r="H97" s="324">
        <f>(G97-D97)/D97</f>
        <v>0</v>
      </c>
      <c r="I97" s="221"/>
    </row>
    <row r="98" spans="1:9" ht="11.25">
      <c r="A98" s="325" t="s">
        <v>72</v>
      </c>
      <c r="B98" s="338"/>
      <c r="C98" s="127">
        <v>0</v>
      </c>
      <c r="D98" s="421">
        <f>B98+C98</f>
        <v>0</v>
      </c>
      <c r="E98" s="47"/>
      <c r="F98" s="90">
        <v>0</v>
      </c>
      <c r="G98" s="49">
        <f>E98+F98</f>
        <v>0</v>
      </c>
      <c r="I98" s="158"/>
    </row>
    <row r="99" spans="1:9" ht="12" thickBot="1">
      <c r="A99" s="328" t="s">
        <v>69</v>
      </c>
      <c r="B99" s="63">
        <v>608478</v>
      </c>
      <c r="C99" s="63">
        <v>273000</v>
      </c>
      <c r="D99" s="421">
        <f>B99+C99</f>
        <v>881478</v>
      </c>
      <c r="E99" s="453">
        <v>608478</v>
      </c>
      <c r="F99" s="63">
        <v>273000</v>
      </c>
      <c r="G99" s="39">
        <f>E99+F99</f>
        <v>881478</v>
      </c>
      <c r="I99" s="158"/>
    </row>
    <row r="100" spans="1:9" s="179" customFormat="1" ht="12" thickBot="1">
      <c r="A100" s="166" t="s">
        <v>73</v>
      </c>
      <c r="B100" s="168">
        <f>B11+B26+B34+B40+B47+B54+B82+B94+B97+B71</f>
        <v>43248919</v>
      </c>
      <c r="C100" s="168">
        <f>C11+C26+C34+C40+C47+C54+C82+C94+C97+C71</f>
        <v>27699154</v>
      </c>
      <c r="D100" s="351">
        <f>D11+D26+D34+D40+D47+D54+D71+D82+D94+D97</f>
        <v>70948073</v>
      </c>
      <c r="E100" s="415">
        <f>E11+E26+E34+E40+E47+E54+E71+E82+E94+E97</f>
        <v>43957331</v>
      </c>
      <c r="F100" s="168">
        <f>F11+F26+F34+F40+F47+F54+F71+F82+F94+F97</f>
        <v>31692500</v>
      </c>
      <c r="G100" s="231">
        <f>G11+G26+G34+G40+G47+G54+G71+G82+G94+G97</f>
        <v>76625203</v>
      </c>
      <c r="H100" s="41">
        <f>(G100-D100)/D100</f>
        <v>0.08001809999829029</v>
      </c>
      <c r="I100" s="311"/>
    </row>
    <row r="101" spans="1:11" s="179" customFormat="1" ht="11.25">
      <c r="A101" s="352"/>
      <c r="B101" s="353"/>
      <c r="C101" s="410"/>
      <c r="D101" s="354"/>
      <c r="E101" s="355"/>
      <c r="F101" s="410"/>
      <c r="G101" s="413"/>
      <c r="H101" s="356"/>
      <c r="K101" s="357"/>
    </row>
    <row r="102" spans="1:11" s="32" customFormat="1" ht="11.25">
      <c r="A102" s="322" t="s">
        <v>74</v>
      </c>
      <c r="B102" s="409"/>
      <c r="C102" s="30"/>
      <c r="D102" s="182"/>
      <c r="E102" s="412"/>
      <c r="F102" s="30"/>
      <c r="G102" s="454"/>
      <c r="H102" s="479"/>
      <c r="I102" s="480"/>
      <c r="J102" s="1"/>
      <c r="K102" s="244"/>
    </row>
    <row r="103" spans="1:8" ht="11.25">
      <c r="A103" s="358" t="s">
        <v>75</v>
      </c>
      <c r="B103" s="345"/>
      <c r="C103" s="411"/>
      <c r="D103" s="182"/>
      <c r="E103" s="412"/>
      <c r="F103" s="30"/>
      <c r="G103" s="414"/>
      <c r="H103" s="313"/>
    </row>
    <row r="104" spans="1:8" ht="11.25">
      <c r="A104" s="358" t="s">
        <v>76</v>
      </c>
      <c r="B104" s="321"/>
      <c r="C104" s="30"/>
      <c r="D104" s="182"/>
      <c r="E104" s="25"/>
      <c r="F104" s="30"/>
      <c r="G104" s="27"/>
      <c r="H104" s="312"/>
    </row>
    <row r="105" spans="1:8" ht="11.25">
      <c r="A105" s="188" t="s">
        <v>77</v>
      </c>
      <c r="B105" s="25">
        <v>3553384</v>
      </c>
      <c r="C105" s="30">
        <v>890080</v>
      </c>
      <c r="D105" s="421">
        <f aca="true" t="shared" si="16" ref="D105:D134">B105+C105</f>
        <v>4443464</v>
      </c>
      <c r="E105" s="25">
        <v>3553384</v>
      </c>
      <c r="F105" s="30">
        <v>890080</v>
      </c>
      <c r="G105" s="39">
        <f aca="true" t="shared" si="17" ref="G105:G134">E105+F105</f>
        <v>4443464</v>
      </c>
      <c r="H105" s="324"/>
    </row>
    <row r="106" spans="1:13" ht="11.25">
      <c r="A106" s="188" t="s">
        <v>78</v>
      </c>
      <c r="B106" s="25">
        <v>2683166</v>
      </c>
      <c r="C106" s="30">
        <v>440000</v>
      </c>
      <c r="D106" s="421">
        <f t="shared" si="16"/>
        <v>3123166</v>
      </c>
      <c r="E106" s="25">
        <v>2683166</v>
      </c>
      <c r="F106" s="30">
        <v>440000</v>
      </c>
      <c r="G106" s="39">
        <f t="shared" si="17"/>
        <v>3123166</v>
      </c>
      <c r="H106" s="324"/>
      <c r="I106" s="221"/>
      <c r="J106" s="2"/>
      <c r="K106" s="2"/>
      <c r="L106" s="2"/>
      <c r="M106" s="2"/>
    </row>
    <row r="107" spans="1:13" ht="11.25">
      <c r="A107" s="188" t="s">
        <v>79</v>
      </c>
      <c r="B107" s="25">
        <v>3223617</v>
      </c>
      <c r="C107" s="30">
        <v>440000</v>
      </c>
      <c r="D107" s="421">
        <f t="shared" si="16"/>
        <v>3663617</v>
      </c>
      <c r="E107" s="25">
        <v>3223617</v>
      </c>
      <c r="F107" s="30">
        <v>440000</v>
      </c>
      <c r="G107" s="39">
        <f t="shared" si="17"/>
        <v>3663617</v>
      </c>
      <c r="H107" s="324"/>
      <c r="I107" s="221"/>
      <c r="J107" s="2"/>
      <c r="K107" s="2"/>
      <c r="L107" s="2"/>
      <c r="M107" s="2"/>
    </row>
    <row r="108" spans="1:13" ht="11.25">
      <c r="A108" s="188" t="s">
        <v>80</v>
      </c>
      <c r="B108" s="25">
        <v>2511318</v>
      </c>
      <c r="C108" s="30">
        <v>506930</v>
      </c>
      <c r="D108" s="421">
        <f t="shared" si="16"/>
        <v>3018248</v>
      </c>
      <c r="E108" s="25">
        <v>2511318</v>
      </c>
      <c r="F108" s="30">
        <v>506930</v>
      </c>
      <c r="G108" s="39">
        <f t="shared" si="17"/>
        <v>3018248</v>
      </c>
      <c r="H108" s="324"/>
      <c r="I108" s="221"/>
      <c r="J108" s="2"/>
      <c r="K108" s="2"/>
      <c r="L108" s="2"/>
      <c r="M108" s="2"/>
    </row>
    <row r="109" spans="1:13" ht="11.25">
      <c r="A109" s="188" t="s">
        <v>81</v>
      </c>
      <c r="B109" s="25">
        <v>3249579</v>
      </c>
      <c r="C109" s="30">
        <v>420000</v>
      </c>
      <c r="D109" s="421">
        <f t="shared" si="16"/>
        <v>3669579</v>
      </c>
      <c r="E109" s="25">
        <v>3249579</v>
      </c>
      <c r="F109" s="30">
        <v>420000</v>
      </c>
      <c r="G109" s="39">
        <f t="shared" si="17"/>
        <v>3669579</v>
      </c>
      <c r="H109" s="324"/>
      <c r="I109" s="221"/>
      <c r="J109" s="2"/>
      <c r="K109" s="2"/>
      <c r="L109" s="2"/>
      <c r="M109" s="2"/>
    </row>
    <row r="110" spans="1:8" ht="11.25">
      <c r="A110" s="188" t="s">
        <v>82</v>
      </c>
      <c r="B110" s="25">
        <v>3656474</v>
      </c>
      <c r="C110" s="30">
        <v>440000</v>
      </c>
      <c r="D110" s="421">
        <f t="shared" si="16"/>
        <v>4096474</v>
      </c>
      <c r="E110" s="25">
        <v>3656474</v>
      </c>
      <c r="F110" s="30">
        <v>440000</v>
      </c>
      <c r="G110" s="39">
        <f t="shared" si="17"/>
        <v>4096474</v>
      </c>
      <c r="H110" s="324"/>
    </row>
    <row r="111" spans="1:10" ht="11.25">
      <c r="A111" s="188" t="s">
        <v>83</v>
      </c>
      <c r="B111" s="25">
        <v>4850691</v>
      </c>
      <c r="C111" s="30">
        <v>1101894</v>
      </c>
      <c r="D111" s="421">
        <f t="shared" si="16"/>
        <v>5952585</v>
      </c>
      <c r="E111" s="25">
        <v>4850691</v>
      </c>
      <c r="F111" s="30">
        <v>1101894</v>
      </c>
      <c r="G111" s="39">
        <f t="shared" si="17"/>
        <v>5952585</v>
      </c>
      <c r="H111" s="324"/>
      <c r="J111" s="41"/>
    </row>
    <row r="112" spans="1:8" ht="11.25">
      <c r="A112" s="188" t="s">
        <v>84</v>
      </c>
      <c r="B112" s="25">
        <v>6509823</v>
      </c>
      <c r="C112" s="30">
        <v>577809</v>
      </c>
      <c r="D112" s="421">
        <f t="shared" si="16"/>
        <v>7087632</v>
      </c>
      <c r="E112" s="25">
        <v>6509823</v>
      </c>
      <c r="F112" s="30">
        <v>577809</v>
      </c>
      <c r="G112" s="39">
        <f t="shared" si="17"/>
        <v>7087632</v>
      </c>
      <c r="H112" s="324"/>
    </row>
    <row r="113" spans="1:8" ht="11.25">
      <c r="A113" s="188" t="s">
        <v>173</v>
      </c>
      <c r="B113" s="25"/>
      <c r="C113" s="30">
        <v>175000</v>
      </c>
      <c r="D113" s="421">
        <f t="shared" si="16"/>
        <v>175000</v>
      </c>
      <c r="E113" s="25"/>
      <c r="F113" s="30">
        <v>0</v>
      </c>
      <c r="G113" s="39">
        <f t="shared" si="17"/>
        <v>0</v>
      </c>
      <c r="H113" s="324"/>
    </row>
    <row r="114" spans="1:9" ht="11.25">
      <c r="A114" s="188" t="s">
        <v>161</v>
      </c>
      <c r="B114" s="25">
        <v>4992733</v>
      </c>
      <c r="C114" s="30">
        <v>708545</v>
      </c>
      <c r="D114" s="421">
        <f t="shared" si="16"/>
        <v>5701278</v>
      </c>
      <c r="E114" s="25">
        <v>4992733</v>
      </c>
      <c r="F114" s="30">
        <v>708545</v>
      </c>
      <c r="G114" s="39">
        <f t="shared" si="17"/>
        <v>5701278</v>
      </c>
      <c r="H114" s="324"/>
      <c r="I114" s="221"/>
    </row>
    <row r="115" spans="1:9" ht="11.25">
      <c r="A115" s="188" t="s">
        <v>86</v>
      </c>
      <c r="B115" s="25"/>
      <c r="C115" s="30">
        <v>1617000</v>
      </c>
      <c r="D115" s="421">
        <f t="shared" si="16"/>
        <v>1617000</v>
      </c>
      <c r="E115" s="25"/>
      <c r="F115" s="30">
        <f>C115*110%</f>
        <v>1778700.0000000002</v>
      </c>
      <c r="G115" s="39">
        <f t="shared" si="17"/>
        <v>1778700.0000000002</v>
      </c>
      <c r="H115" s="324"/>
      <c r="I115" s="221"/>
    </row>
    <row r="116" spans="1:9" ht="11.25">
      <c r="A116" s="188" t="s">
        <v>87</v>
      </c>
      <c r="B116" s="25"/>
      <c r="C116" s="30">
        <v>550000</v>
      </c>
      <c r="D116" s="421">
        <f t="shared" si="16"/>
        <v>550000</v>
      </c>
      <c r="E116" s="25"/>
      <c r="F116" s="30">
        <v>550000</v>
      </c>
      <c r="G116" s="39">
        <f t="shared" si="17"/>
        <v>550000</v>
      </c>
      <c r="H116" s="324"/>
      <c r="I116" s="221"/>
    </row>
    <row r="117" spans="1:8" ht="11.25">
      <c r="A117" s="188" t="s">
        <v>88</v>
      </c>
      <c r="B117" s="25">
        <v>3313939</v>
      </c>
      <c r="C117" s="30">
        <v>464669</v>
      </c>
      <c r="D117" s="421">
        <f t="shared" si="16"/>
        <v>3778608</v>
      </c>
      <c r="E117" s="25">
        <v>3313939</v>
      </c>
      <c r="F117" s="30">
        <v>464669</v>
      </c>
      <c r="G117" s="39">
        <f t="shared" si="17"/>
        <v>3778608</v>
      </c>
      <c r="H117" s="324"/>
    </row>
    <row r="118" spans="1:8" ht="11.25">
      <c r="A118" s="188" t="s">
        <v>89</v>
      </c>
      <c r="B118" s="25">
        <v>2954410</v>
      </c>
      <c r="C118" s="30">
        <v>617717</v>
      </c>
      <c r="D118" s="421">
        <f t="shared" si="16"/>
        <v>3572127</v>
      </c>
      <c r="E118" s="25">
        <v>2954410</v>
      </c>
      <c r="F118" s="30">
        <v>617717</v>
      </c>
      <c r="G118" s="39">
        <f t="shared" si="17"/>
        <v>3572127</v>
      </c>
      <c r="H118" s="324"/>
    </row>
    <row r="119" spans="1:8" ht="11.25">
      <c r="A119" s="188" t="s">
        <v>90</v>
      </c>
      <c r="B119" s="25">
        <v>2630679</v>
      </c>
      <c r="C119" s="30">
        <v>440000</v>
      </c>
      <c r="D119" s="421">
        <f t="shared" si="16"/>
        <v>3070679</v>
      </c>
      <c r="E119" s="25">
        <v>2630679</v>
      </c>
      <c r="F119" s="30">
        <v>440000</v>
      </c>
      <c r="G119" s="39">
        <f t="shared" si="17"/>
        <v>3070679</v>
      </c>
      <c r="H119" s="324"/>
    </row>
    <row r="120" spans="1:8" ht="11.25">
      <c r="A120" s="188" t="s">
        <v>91</v>
      </c>
      <c r="B120" s="25">
        <v>6491809</v>
      </c>
      <c r="C120" s="30">
        <v>931702</v>
      </c>
      <c r="D120" s="421">
        <f t="shared" si="16"/>
        <v>7423511</v>
      </c>
      <c r="E120" s="25">
        <v>6491809</v>
      </c>
      <c r="F120" s="30">
        <v>931702</v>
      </c>
      <c r="G120" s="39">
        <f t="shared" si="17"/>
        <v>7423511</v>
      </c>
      <c r="H120" s="324"/>
    </row>
    <row r="121" spans="1:13" ht="11.25">
      <c r="A121" s="188" t="s">
        <v>92</v>
      </c>
      <c r="B121" s="25">
        <v>2261203</v>
      </c>
      <c r="C121" s="30">
        <v>444858</v>
      </c>
      <c r="D121" s="421">
        <f t="shared" si="16"/>
        <v>2706061</v>
      </c>
      <c r="E121" s="25">
        <v>2261203</v>
      </c>
      <c r="F121" s="30">
        <v>444858</v>
      </c>
      <c r="G121" s="39">
        <f t="shared" si="17"/>
        <v>2706061</v>
      </c>
      <c r="H121" s="324"/>
      <c r="J121" s="2"/>
      <c r="K121" s="2"/>
      <c r="L121" s="2"/>
      <c r="M121" s="2"/>
    </row>
    <row r="122" spans="1:13" ht="11.25">
      <c r="A122" s="188" t="s">
        <v>171</v>
      </c>
      <c r="B122" s="25">
        <v>1920922</v>
      </c>
      <c r="C122" s="30">
        <v>315000</v>
      </c>
      <c r="D122" s="421">
        <f t="shared" si="16"/>
        <v>2235922</v>
      </c>
      <c r="E122" s="25">
        <v>1920922</v>
      </c>
      <c r="F122" s="30">
        <v>315000</v>
      </c>
      <c r="G122" s="39">
        <f t="shared" si="17"/>
        <v>2235922</v>
      </c>
      <c r="H122" s="324"/>
      <c r="J122" s="2"/>
      <c r="K122" s="2"/>
      <c r="L122" s="2"/>
      <c r="M122" s="2"/>
    </row>
    <row r="123" spans="1:13" ht="11.25">
      <c r="A123" s="188" t="s">
        <v>93</v>
      </c>
      <c r="B123" s="25">
        <v>1240019</v>
      </c>
      <c r="C123" s="30">
        <v>218286</v>
      </c>
      <c r="D123" s="421">
        <f t="shared" si="16"/>
        <v>1458305</v>
      </c>
      <c r="E123" s="25">
        <v>1240019</v>
      </c>
      <c r="F123" s="30">
        <v>218286</v>
      </c>
      <c r="G123" s="39">
        <f t="shared" si="17"/>
        <v>1458305</v>
      </c>
      <c r="H123" s="324"/>
      <c r="I123" s="221"/>
      <c r="J123" s="2"/>
      <c r="K123" s="2"/>
      <c r="L123" s="2"/>
      <c r="M123" s="2"/>
    </row>
    <row r="124" spans="1:8" ht="11.25">
      <c r="A124" s="188" t="s">
        <v>94</v>
      </c>
      <c r="B124" s="25">
        <v>777800</v>
      </c>
      <c r="C124" s="30">
        <v>0</v>
      </c>
      <c r="D124" s="421">
        <f t="shared" si="16"/>
        <v>777800</v>
      </c>
      <c r="E124" s="25">
        <v>777800</v>
      </c>
      <c r="F124" s="30">
        <v>0</v>
      </c>
      <c r="G124" s="39">
        <f t="shared" si="17"/>
        <v>777800</v>
      </c>
      <c r="H124" s="324"/>
    </row>
    <row r="125" spans="1:9" ht="11.25">
      <c r="A125" s="188" t="s">
        <v>95</v>
      </c>
      <c r="B125" s="25">
        <v>5944745</v>
      </c>
      <c r="C125" s="30">
        <v>835643</v>
      </c>
      <c r="D125" s="421">
        <f t="shared" si="16"/>
        <v>6780388</v>
      </c>
      <c r="E125" s="25">
        <v>5944745</v>
      </c>
      <c r="F125" s="30">
        <v>835643</v>
      </c>
      <c r="G125" s="39">
        <f t="shared" si="17"/>
        <v>6780388</v>
      </c>
      <c r="H125" s="324"/>
      <c r="I125" s="221"/>
    </row>
    <row r="126" spans="1:9" ht="11.25">
      <c r="A126" s="188" t="s">
        <v>96</v>
      </c>
      <c r="B126" s="25">
        <v>1718772</v>
      </c>
      <c r="C126" s="30">
        <v>440000</v>
      </c>
      <c r="D126" s="421">
        <f t="shared" si="16"/>
        <v>2158772</v>
      </c>
      <c r="E126" s="25">
        <v>1718772</v>
      </c>
      <c r="F126" s="30">
        <v>400000</v>
      </c>
      <c r="G126" s="39">
        <f t="shared" si="17"/>
        <v>2118772</v>
      </c>
      <c r="H126" s="324"/>
      <c r="I126" s="221"/>
    </row>
    <row r="127" spans="1:8" ht="11.25">
      <c r="A127" s="188" t="s">
        <v>98</v>
      </c>
      <c r="B127" s="25">
        <v>1375728</v>
      </c>
      <c r="C127" s="30">
        <v>485100</v>
      </c>
      <c r="D127" s="421">
        <f t="shared" si="16"/>
        <v>1860828</v>
      </c>
      <c r="E127" s="25">
        <v>1375728</v>
      </c>
      <c r="F127" s="30">
        <v>485100</v>
      </c>
      <c r="G127" s="39">
        <f t="shared" si="17"/>
        <v>1860828</v>
      </c>
      <c r="H127" s="324"/>
    </row>
    <row r="128" spans="1:8" ht="11.25">
      <c r="A128" s="337" t="s">
        <v>165</v>
      </c>
      <c r="B128" s="102">
        <v>740000</v>
      </c>
      <c r="C128" s="127">
        <v>100000</v>
      </c>
      <c r="D128" s="421">
        <f t="shared" si="16"/>
        <v>840000</v>
      </c>
      <c r="E128" s="102">
        <v>740000</v>
      </c>
      <c r="F128" s="127">
        <v>100000</v>
      </c>
      <c r="G128" s="39">
        <f t="shared" si="17"/>
        <v>840000</v>
      </c>
      <c r="H128" s="324"/>
    </row>
    <row r="129" spans="1:15" s="361" customFormat="1" ht="11.25">
      <c r="A129" s="359" t="s">
        <v>162</v>
      </c>
      <c r="B129" s="25">
        <f>424710+234000</f>
        <v>658710</v>
      </c>
      <c r="C129" s="30">
        <v>230000</v>
      </c>
      <c r="D129" s="421">
        <f t="shared" si="16"/>
        <v>888710</v>
      </c>
      <c r="E129" s="25">
        <f>424710+234000</f>
        <v>658710</v>
      </c>
      <c r="F129" s="30">
        <v>230000</v>
      </c>
      <c r="G129" s="39">
        <f>E129+F129</f>
        <v>888710</v>
      </c>
      <c r="H129" s="360"/>
      <c r="I129" s="281"/>
      <c r="J129" s="2"/>
      <c r="K129" s="2"/>
      <c r="L129" s="2"/>
      <c r="M129" s="2"/>
      <c r="N129" s="2"/>
      <c r="O129" s="2"/>
    </row>
    <row r="130" spans="1:15" s="361" customFormat="1" ht="11.25">
      <c r="A130" s="362" t="s">
        <v>101</v>
      </c>
      <c r="B130" s="72">
        <v>757767</v>
      </c>
      <c r="C130" s="73">
        <v>400000</v>
      </c>
      <c r="D130" s="421">
        <f t="shared" si="16"/>
        <v>1157767</v>
      </c>
      <c r="E130" s="72">
        <v>757767</v>
      </c>
      <c r="F130" s="73">
        <v>400000</v>
      </c>
      <c r="G130" s="39">
        <f>E130+F130</f>
        <v>1157767</v>
      </c>
      <c r="H130" s="360"/>
      <c r="I130" s="281"/>
      <c r="J130" s="2"/>
      <c r="K130" s="2"/>
      <c r="L130" s="2"/>
      <c r="M130" s="2"/>
      <c r="N130" s="2"/>
      <c r="O130" s="2"/>
    </row>
    <row r="131" spans="1:15" s="361" customFormat="1" ht="11.25">
      <c r="A131" s="359" t="s">
        <v>102</v>
      </c>
      <c r="B131" s="72">
        <v>861754</v>
      </c>
      <c r="C131" s="73">
        <v>400000</v>
      </c>
      <c r="D131" s="421">
        <f t="shared" si="16"/>
        <v>1261754</v>
      </c>
      <c r="E131" s="72">
        <v>861754</v>
      </c>
      <c r="F131" s="73">
        <v>400000</v>
      </c>
      <c r="G131" s="39">
        <f>E131+F131</f>
        <v>1261754</v>
      </c>
      <c r="H131" s="360"/>
      <c r="I131" s="281"/>
      <c r="J131" s="2"/>
      <c r="K131" s="2"/>
      <c r="L131" s="2"/>
      <c r="M131" s="2"/>
      <c r="N131" s="2"/>
      <c r="O131" s="2"/>
    </row>
    <row r="132" spans="1:15" s="361" customFormat="1" ht="12" thickBot="1">
      <c r="A132" s="359" t="s">
        <v>103</v>
      </c>
      <c r="B132" s="62">
        <v>621151</v>
      </c>
      <c r="C132" s="63">
        <v>126000</v>
      </c>
      <c r="D132" s="399">
        <f t="shared" si="16"/>
        <v>747151</v>
      </c>
      <c r="E132" s="62">
        <v>621151</v>
      </c>
      <c r="F132" s="63">
        <f>120000+(120000*5%)</f>
        <v>126000</v>
      </c>
      <c r="G132" s="64">
        <f>E132+F132</f>
        <v>747151</v>
      </c>
      <c r="H132" s="360"/>
      <c r="I132" s="281"/>
      <c r="J132" s="2"/>
      <c r="K132" s="2"/>
      <c r="L132" s="2"/>
      <c r="M132" s="2"/>
      <c r="N132" s="2"/>
      <c r="O132" s="2"/>
    </row>
    <row r="133" spans="1:15" ht="11.25">
      <c r="A133" s="144" t="s">
        <v>104</v>
      </c>
      <c r="B133" s="321"/>
      <c r="C133" s="30">
        <v>800000</v>
      </c>
      <c r="D133" s="421">
        <f t="shared" si="16"/>
        <v>800000</v>
      </c>
      <c r="E133" s="25"/>
      <c r="F133" s="30">
        <v>0</v>
      </c>
      <c r="G133" s="49">
        <f t="shared" si="17"/>
        <v>0</v>
      </c>
      <c r="H133" s="324"/>
      <c r="I133" s="221" t="s">
        <v>155</v>
      </c>
      <c r="K133" s="2"/>
      <c r="L133" s="2"/>
      <c r="M133" s="2"/>
      <c r="N133" s="2"/>
      <c r="O133" s="2"/>
    </row>
    <row r="134" spans="1:9" ht="12" thickBot="1">
      <c r="A134" s="363" t="s">
        <v>105</v>
      </c>
      <c r="B134" s="338"/>
      <c r="C134" s="127">
        <v>426516</v>
      </c>
      <c r="D134" s="115">
        <f t="shared" si="16"/>
        <v>426516</v>
      </c>
      <c r="E134" s="102"/>
      <c r="F134" s="127">
        <f>SUM(F105:F132)*0.07</f>
        <v>998405.31</v>
      </c>
      <c r="G134" s="39">
        <f t="shared" si="17"/>
        <v>998405.31</v>
      </c>
      <c r="H134" s="324"/>
      <c r="I134" s="1" t="s">
        <v>284</v>
      </c>
    </row>
    <row r="135" spans="1:10" s="158" customFormat="1" ht="11.25">
      <c r="A135" s="364" t="s">
        <v>106</v>
      </c>
      <c r="B135" s="191">
        <f>SUM(B104:B134)</f>
        <v>69500193</v>
      </c>
      <c r="C135" s="191">
        <f>SUM(C104:C134)</f>
        <v>15542749</v>
      </c>
      <c r="D135" s="416">
        <f>SUM(D105:D134)</f>
        <v>85042942</v>
      </c>
      <c r="E135" s="417">
        <f>SUM(E105:E134)</f>
        <v>69500193</v>
      </c>
      <c r="F135" s="191">
        <f>SUM(F105:F134)</f>
        <v>15261338.31</v>
      </c>
      <c r="G135" s="365">
        <f>SUM(G105:G134)</f>
        <v>84761531.31</v>
      </c>
      <c r="H135" s="324">
        <f>(G135-D135)/D135</f>
        <v>-0.0033090422718442362</v>
      </c>
      <c r="I135" s="311" t="s">
        <v>244</v>
      </c>
      <c r="J135" s="366"/>
    </row>
    <row r="136" spans="1:7" ht="11.25">
      <c r="A136" s="319"/>
      <c r="B136" s="321"/>
      <c r="C136" s="30"/>
      <c r="D136" s="182"/>
      <c r="E136" s="25"/>
      <c r="F136" s="30"/>
      <c r="G136" s="27"/>
    </row>
    <row r="137" spans="1:7" ht="11.25">
      <c r="A137" s="358" t="s">
        <v>107</v>
      </c>
      <c r="B137" s="321"/>
      <c r="C137" s="30"/>
      <c r="D137" s="182"/>
      <c r="E137" s="25"/>
      <c r="F137" s="30"/>
      <c r="G137" s="27"/>
    </row>
    <row r="138" spans="1:7" ht="11.25">
      <c r="A138" s="188" t="s">
        <v>177</v>
      </c>
      <c r="B138" s="25">
        <v>798637</v>
      </c>
      <c r="C138" s="30">
        <v>440000</v>
      </c>
      <c r="D138" s="441">
        <f>B138+C138</f>
        <v>1238637</v>
      </c>
      <c r="E138" s="25">
        <v>798637</v>
      </c>
      <c r="F138" s="30">
        <v>440000</v>
      </c>
      <c r="G138" s="442">
        <f aca="true" t="shared" si="18" ref="G138:G175">E138+F138</f>
        <v>1238637</v>
      </c>
    </row>
    <row r="139" spans="1:7" ht="11.25">
      <c r="A139" s="188" t="s">
        <v>176</v>
      </c>
      <c r="B139" s="321"/>
      <c r="C139" s="30"/>
      <c r="D139" s="441">
        <f aca="true" t="shared" si="19" ref="D139:D175">B139+C139</f>
        <v>0</v>
      </c>
      <c r="E139" s="25"/>
      <c r="F139" s="30"/>
      <c r="G139" s="442">
        <f t="shared" si="18"/>
        <v>0</v>
      </c>
    </row>
    <row r="140" spans="1:7" ht="11.25">
      <c r="A140" s="188" t="s">
        <v>178</v>
      </c>
      <c r="B140" s="321"/>
      <c r="C140" s="30">
        <v>789052</v>
      </c>
      <c r="D140" s="441">
        <f t="shared" si="19"/>
        <v>789052</v>
      </c>
      <c r="E140" s="25"/>
      <c r="F140" s="30">
        <v>789052</v>
      </c>
      <c r="G140" s="442">
        <f t="shared" si="18"/>
        <v>789052</v>
      </c>
    </row>
    <row r="141" spans="1:7" ht="11.25">
      <c r="A141" s="188" t="s">
        <v>179</v>
      </c>
      <c r="B141" s="321"/>
      <c r="C141" s="30">
        <v>561153</v>
      </c>
      <c r="D141" s="441">
        <f t="shared" si="19"/>
        <v>561153</v>
      </c>
      <c r="E141" s="25"/>
      <c r="F141" s="30">
        <v>561153</v>
      </c>
      <c r="G141" s="442">
        <f t="shared" si="18"/>
        <v>561153</v>
      </c>
    </row>
    <row r="142" spans="1:7" ht="11.25">
      <c r="A142" s="188" t="s">
        <v>180</v>
      </c>
      <c r="B142" s="321"/>
      <c r="C142" s="30">
        <v>636933</v>
      </c>
      <c r="D142" s="441">
        <f t="shared" si="19"/>
        <v>636933</v>
      </c>
      <c r="E142" s="25"/>
      <c r="F142" s="30">
        <v>636933</v>
      </c>
      <c r="G142" s="442">
        <f t="shared" si="18"/>
        <v>636933</v>
      </c>
    </row>
    <row r="143" spans="1:7" ht="11.25">
      <c r="A143" s="188" t="s">
        <v>212</v>
      </c>
      <c r="B143" s="321"/>
      <c r="C143" s="30"/>
      <c r="D143" s="441"/>
      <c r="E143" s="25"/>
      <c r="F143" s="30"/>
      <c r="G143" s="442">
        <f t="shared" si="18"/>
        <v>0</v>
      </c>
    </row>
    <row r="144" spans="1:7" ht="11.25">
      <c r="A144" s="342" t="s">
        <v>210</v>
      </c>
      <c r="B144" s="321"/>
      <c r="C144" s="30">
        <v>174520</v>
      </c>
      <c r="D144" s="441">
        <f t="shared" si="19"/>
        <v>174520</v>
      </c>
      <c r="E144" s="25"/>
      <c r="F144" s="30">
        <v>174520</v>
      </c>
      <c r="G144" s="442">
        <f t="shared" si="18"/>
        <v>174520</v>
      </c>
    </row>
    <row r="145" spans="1:7" ht="11.25">
      <c r="A145" s="342" t="s">
        <v>211</v>
      </c>
      <c r="B145" s="321"/>
      <c r="C145" s="30">
        <v>597718</v>
      </c>
      <c r="D145" s="441">
        <f t="shared" si="19"/>
        <v>597718</v>
      </c>
      <c r="E145" s="25"/>
      <c r="F145" s="30">
        <v>597718</v>
      </c>
      <c r="G145" s="442">
        <f t="shared" si="18"/>
        <v>597718</v>
      </c>
    </row>
    <row r="146" spans="1:7" ht="11.25">
      <c r="A146" s="188" t="s">
        <v>181</v>
      </c>
      <c r="B146" s="321"/>
      <c r="C146" s="30">
        <v>735531</v>
      </c>
      <c r="D146" s="441">
        <f t="shared" si="19"/>
        <v>735531</v>
      </c>
      <c r="E146" s="25"/>
      <c r="F146" s="30">
        <v>735531</v>
      </c>
      <c r="G146" s="442">
        <f t="shared" si="18"/>
        <v>735531</v>
      </c>
    </row>
    <row r="147" spans="1:7" ht="11.25">
      <c r="A147" s="188" t="s">
        <v>182</v>
      </c>
      <c r="B147" s="25">
        <v>398175</v>
      </c>
      <c r="C147" s="30">
        <v>847171</v>
      </c>
      <c r="D147" s="441">
        <f t="shared" si="19"/>
        <v>1245346</v>
      </c>
      <c r="E147" s="25">
        <v>398175</v>
      </c>
      <c r="F147" s="30">
        <v>847171</v>
      </c>
      <c r="G147" s="442">
        <f t="shared" si="18"/>
        <v>1245346</v>
      </c>
    </row>
    <row r="148" spans="1:7" ht="11.25">
      <c r="A148" s="188" t="s">
        <v>183</v>
      </c>
      <c r="B148" s="321"/>
      <c r="C148" s="30"/>
      <c r="D148" s="441">
        <f t="shared" si="19"/>
        <v>0</v>
      </c>
      <c r="E148" s="25"/>
      <c r="F148" s="30"/>
      <c r="G148" s="442">
        <f t="shared" si="18"/>
        <v>0</v>
      </c>
    </row>
    <row r="149" spans="1:7" ht="11.25">
      <c r="A149" s="188" t="s">
        <v>184</v>
      </c>
      <c r="B149" s="321"/>
      <c r="C149" s="30">
        <v>647813</v>
      </c>
      <c r="D149" s="441">
        <f t="shared" si="19"/>
        <v>647813</v>
      </c>
      <c r="E149" s="25"/>
      <c r="F149" s="30">
        <v>647813</v>
      </c>
      <c r="G149" s="442">
        <f t="shared" si="18"/>
        <v>647813</v>
      </c>
    </row>
    <row r="150" spans="1:7" ht="11.25">
      <c r="A150" s="188" t="s">
        <v>185</v>
      </c>
      <c r="B150" s="25">
        <v>1773892</v>
      </c>
      <c r="C150" s="30">
        <v>420000</v>
      </c>
      <c r="D150" s="441">
        <f t="shared" si="19"/>
        <v>2193892</v>
      </c>
      <c r="E150" s="25">
        <v>1773892</v>
      </c>
      <c r="F150" s="30">
        <v>420000</v>
      </c>
      <c r="G150" s="442">
        <f t="shared" si="18"/>
        <v>2193892</v>
      </c>
    </row>
    <row r="151" spans="1:7" ht="11.25">
      <c r="A151" s="188" t="s">
        <v>186</v>
      </c>
      <c r="B151" s="321"/>
      <c r="C151" s="30">
        <v>420000</v>
      </c>
      <c r="D151" s="441">
        <f t="shared" si="19"/>
        <v>420000</v>
      </c>
      <c r="E151" s="25"/>
      <c r="F151" s="30">
        <v>420000</v>
      </c>
      <c r="G151" s="442">
        <f t="shared" si="18"/>
        <v>420000</v>
      </c>
    </row>
    <row r="152" spans="1:7" ht="11.25">
      <c r="A152" s="188" t="s">
        <v>187</v>
      </c>
      <c r="B152" s="321"/>
      <c r="C152" s="30"/>
      <c r="D152" s="441">
        <f t="shared" si="19"/>
        <v>0</v>
      </c>
      <c r="E152" s="25"/>
      <c r="F152" s="30"/>
      <c r="G152" s="442">
        <f t="shared" si="18"/>
        <v>0</v>
      </c>
    </row>
    <row r="153" spans="1:7" ht="11.25">
      <c r="A153" s="188" t="s">
        <v>188</v>
      </c>
      <c r="B153" s="25">
        <v>4143797</v>
      </c>
      <c r="C153" s="30">
        <v>909535</v>
      </c>
      <c r="D153" s="441">
        <f t="shared" si="19"/>
        <v>5053332</v>
      </c>
      <c r="E153" s="25">
        <v>4143797</v>
      </c>
      <c r="F153" s="30">
        <v>909535</v>
      </c>
      <c r="G153" s="442">
        <f t="shared" si="18"/>
        <v>5053332</v>
      </c>
    </row>
    <row r="154" spans="1:7" ht="11.25">
      <c r="A154" s="188" t="s">
        <v>189</v>
      </c>
      <c r="B154" s="321"/>
      <c r="C154" s="30">
        <v>1233364</v>
      </c>
      <c r="D154" s="441">
        <f t="shared" si="19"/>
        <v>1233364</v>
      </c>
      <c r="E154" s="25"/>
      <c r="F154" s="30">
        <v>1233364</v>
      </c>
      <c r="G154" s="442">
        <f t="shared" si="18"/>
        <v>1233364</v>
      </c>
    </row>
    <row r="155" spans="1:7" ht="11.25">
      <c r="A155" s="188" t="s">
        <v>190</v>
      </c>
      <c r="B155" s="25">
        <v>1146689</v>
      </c>
      <c r="C155" s="30">
        <f>216175+734725</f>
        <v>950900</v>
      </c>
      <c r="D155" s="441">
        <f t="shared" si="19"/>
        <v>2097589</v>
      </c>
      <c r="E155" s="25">
        <v>1146689</v>
      </c>
      <c r="F155" s="30">
        <f>216175+734725</f>
        <v>950900</v>
      </c>
      <c r="G155" s="442">
        <f t="shared" si="18"/>
        <v>2097589</v>
      </c>
    </row>
    <row r="156" spans="1:7" ht="11.25">
      <c r="A156" s="188" t="s">
        <v>191</v>
      </c>
      <c r="B156" s="321"/>
      <c r="C156" s="30">
        <v>440000</v>
      </c>
      <c r="D156" s="441">
        <f t="shared" si="19"/>
        <v>440000</v>
      </c>
      <c r="E156" s="25"/>
      <c r="F156" s="30">
        <v>440000</v>
      </c>
      <c r="G156" s="442">
        <f t="shared" si="18"/>
        <v>440000</v>
      </c>
    </row>
    <row r="157" spans="1:7" ht="11.25">
      <c r="A157" s="188" t="s">
        <v>192</v>
      </c>
      <c r="B157" s="321">
        <v>569401</v>
      </c>
      <c r="C157" s="30">
        <v>702098</v>
      </c>
      <c r="D157" s="441">
        <f t="shared" si="19"/>
        <v>1271499</v>
      </c>
      <c r="E157" s="25">
        <v>569401</v>
      </c>
      <c r="F157" s="30">
        <v>702098</v>
      </c>
      <c r="G157" s="442">
        <f t="shared" si="18"/>
        <v>1271499</v>
      </c>
    </row>
    <row r="158" spans="1:7" ht="11.25">
      <c r="A158" s="188" t="s">
        <v>213</v>
      </c>
      <c r="B158" s="321"/>
      <c r="C158" s="30"/>
      <c r="D158" s="441"/>
      <c r="E158" s="25"/>
      <c r="F158" s="30"/>
      <c r="G158" s="442">
        <f t="shared" si="18"/>
        <v>0</v>
      </c>
    </row>
    <row r="159" spans="1:7" ht="11.25">
      <c r="A159" s="342" t="s">
        <v>211</v>
      </c>
      <c r="B159" s="321"/>
      <c r="C159" s="30">
        <v>449964</v>
      </c>
      <c r="D159" s="441">
        <f t="shared" si="19"/>
        <v>449964</v>
      </c>
      <c r="E159" s="25"/>
      <c r="F159" s="30">
        <v>449964</v>
      </c>
      <c r="G159" s="442">
        <f t="shared" si="18"/>
        <v>449964</v>
      </c>
    </row>
    <row r="160" spans="1:7" ht="11.25">
      <c r="A160" s="342" t="s">
        <v>95</v>
      </c>
      <c r="B160" s="321"/>
      <c r="C160" s="30">
        <v>75000</v>
      </c>
      <c r="D160" s="441">
        <f t="shared" si="19"/>
        <v>75000</v>
      </c>
      <c r="E160" s="25"/>
      <c r="F160" s="30">
        <v>75000</v>
      </c>
      <c r="G160" s="442">
        <f t="shared" si="18"/>
        <v>75000</v>
      </c>
    </row>
    <row r="161" spans="1:7" ht="11.25">
      <c r="A161" s="342" t="s">
        <v>214</v>
      </c>
      <c r="B161" s="321"/>
      <c r="C161" s="30">
        <v>50000</v>
      </c>
      <c r="D161" s="441">
        <f t="shared" si="19"/>
        <v>50000</v>
      </c>
      <c r="E161" s="25"/>
      <c r="F161" s="30">
        <v>50000</v>
      </c>
      <c r="G161" s="442">
        <f t="shared" si="18"/>
        <v>50000</v>
      </c>
    </row>
    <row r="162" spans="1:7" ht="11.25">
      <c r="A162" s="188" t="s">
        <v>193</v>
      </c>
      <c r="B162" s="321"/>
      <c r="C162" s="30">
        <v>800294</v>
      </c>
      <c r="D162" s="441">
        <f t="shared" si="19"/>
        <v>800294</v>
      </c>
      <c r="E162" s="25"/>
      <c r="F162" s="30">
        <v>800294</v>
      </c>
      <c r="G162" s="442">
        <f t="shared" si="18"/>
        <v>800294</v>
      </c>
    </row>
    <row r="163" spans="1:7" ht="11.25">
      <c r="A163" s="188" t="s">
        <v>194</v>
      </c>
      <c r="B163" s="321">
        <v>157855</v>
      </c>
      <c r="C163" s="30"/>
      <c r="D163" s="441">
        <f t="shared" si="19"/>
        <v>157855</v>
      </c>
      <c r="E163" s="25">
        <v>157855</v>
      </c>
      <c r="F163" s="30"/>
      <c r="G163" s="442">
        <f t="shared" si="18"/>
        <v>157855</v>
      </c>
    </row>
    <row r="164" spans="1:7" ht="11.25">
      <c r="A164" s="188" t="s">
        <v>195</v>
      </c>
      <c r="B164" s="321"/>
      <c r="C164" s="30"/>
      <c r="D164" s="441">
        <f t="shared" si="19"/>
        <v>0</v>
      </c>
      <c r="E164" s="25"/>
      <c r="F164" s="30"/>
      <c r="G164" s="442">
        <f t="shared" si="18"/>
        <v>0</v>
      </c>
    </row>
    <row r="165" spans="1:7" ht="11.25">
      <c r="A165" s="188" t="s">
        <v>196</v>
      </c>
      <c r="B165" s="321">
        <v>361557</v>
      </c>
      <c r="C165" s="30">
        <v>929071</v>
      </c>
      <c r="D165" s="441">
        <f t="shared" si="19"/>
        <v>1290628</v>
      </c>
      <c r="E165" s="25">
        <v>361557</v>
      </c>
      <c r="F165" s="30">
        <v>929071</v>
      </c>
      <c r="G165" s="442">
        <f t="shared" si="18"/>
        <v>1290628</v>
      </c>
    </row>
    <row r="166" spans="1:7" ht="11.25">
      <c r="A166" s="342" t="s">
        <v>216</v>
      </c>
      <c r="B166" s="321">
        <v>126205</v>
      </c>
      <c r="C166" s="30"/>
      <c r="D166" s="441">
        <f t="shared" si="19"/>
        <v>126205</v>
      </c>
      <c r="E166" s="25">
        <v>126205</v>
      </c>
      <c r="F166" s="30"/>
      <c r="G166" s="442">
        <f t="shared" si="18"/>
        <v>126205</v>
      </c>
    </row>
    <row r="167" spans="1:7" ht="11.25">
      <c r="A167" s="188" t="s">
        <v>197</v>
      </c>
      <c r="B167" s="321"/>
      <c r="C167" s="30">
        <v>669667</v>
      </c>
      <c r="D167" s="441">
        <f t="shared" si="19"/>
        <v>669667</v>
      </c>
      <c r="E167" s="25"/>
      <c r="F167" s="30">
        <v>669667</v>
      </c>
      <c r="G167" s="442">
        <f t="shared" si="18"/>
        <v>669667</v>
      </c>
    </row>
    <row r="168" spans="1:7" ht="11.25">
      <c r="A168" s="188" t="s">
        <v>198</v>
      </c>
      <c r="B168" s="321"/>
      <c r="C168" s="30">
        <v>741092</v>
      </c>
      <c r="D168" s="441">
        <f t="shared" si="19"/>
        <v>741092</v>
      </c>
      <c r="E168" s="25"/>
      <c r="F168" s="30">
        <v>741092</v>
      </c>
      <c r="G168" s="442">
        <f t="shared" si="18"/>
        <v>741092</v>
      </c>
    </row>
    <row r="169" spans="1:7" ht="11.25">
      <c r="A169" s="188" t="s">
        <v>199</v>
      </c>
      <c r="B169" s="321"/>
      <c r="C169" s="30"/>
      <c r="D169" s="441">
        <f t="shared" si="19"/>
        <v>0</v>
      </c>
      <c r="E169" s="25"/>
      <c r="F169" s="30"/>
      <c r="G169" s="442">
        <f t="shared" si="18"/>
        <v>0</v>
      </c>
    </row>
    <row r="170" spans="1:7" ht="11.25">
      <c r="A170" s="342" t="s">
        <v>199</v>
      </c>
      <c r="B170" s="321"/>
      <c r="C170" s="30">
        <v>1356933</v>
      </c>
      <c r="D170" s="441">
        <f t="shared" si="19"/>
        <v>1356933</v>
      </c>
      <c r="E170" s="25"/>
      <c r="F170" s="30">
        <v>1356933</v>
      </c>
      <c r="G170" s="442">
        <f t="shared" si="18"/>
        <v>1356933</v>
      </c>
    </row>
    <row r="171" spans="1:7" ht="11.25">
      <c r="A171" s="342" t="s">
        <v>215</v>
      </c>
      <c r="B171" s="321"/>
      <c r="C171" s="30">
        <v>119395</v>
      </c>
      <c r="D171" s="441">
        <f t="shared" si="19"/>
        <v>119395</v>
      </c>
      <c r="E171" s="25"/>
      <c r="F171" s="30">
        <v>119395</v>
      </c>
      <c r="G171" s="442">
        <f t="shared" si="18"/>
        <v>119395</v>
      </c>
    </row>
    <row r="172" spans="1:7" ht="11.25">
      <c r="A172" s="188" t="s">
        <v>200</v>
      </c>
      <c r="B172" s="321"/>
      <c r="C172" s="30">
        <v>466290</v>
      </c>
      <c r="D172" s="441">
        <f t="shared" si="19"/>
        <v>466290</v>
      </c>
      <c r="E172" s="25"/>
      <c r="F172" s="30">
        <v>466290</v>
      </c>
      <c r="G172" s="442">
        <f t="shared" si="18"/>
        <v>466290</v>
      </c>
    </row>
    <row r="173" spans="1:7" ht="11.25">
      <c r="A173" s="188" t="s">
        <v>201</v>
      </c>
      <c r="B173" s="321"/>
      <c r="C173" s="30"/>
      <c r="D173" s="441">
        <f t="shared" si="19"/>
        <v>0</v>
      </c>
      <c r="E173" s="25"/>
      <c r="F173" s="30"/>
      <c r="G173" s="442">
        <f t="shared" si="18"/>
        <v>0</v>
      </c>
    </row>
    <row r="174" spans="1:7" ht="11.25">
      <c r="A174" s="188" t="s">
        <v>202</v>
      </c>
      <c r="B174" s="321"/>
      <c r="C174" s="30">
        <v>521796</v>
      </c>
      <c r="D174" s="441">
        <f t="shared" si="19"/>
        <v>521796</v>
      </c>
      <c r="E174" s="25"/>
      <c r="F174" s="30">
        <v>521796</v>
      </c>
      <c r="G174" s="442">
        <f t="shared" si="18"/>
        <v>521796</v>
      </c>
    </row>
    <row r="175" spans="1:7" ht="11.25">
      <c r="A175" s="188" t="s">
        <v>203</v>
      </c>
      <c r="B175" s="321"/>
      <c r="C175" s="30"/>
      <c r="D175" s="441">
        <f t="shared" si="19"/>
        <v>0</v>
      </c>
      <c r="E175" s="25"/>
      <c r="F175" s="30"/>
      <c r="G175" s="442">
        <f t="shared" si="18"/>
        <v>0</v>
      </c>
    </row>
    <row r="176" spans="1:7" ht="11.25">
      <c r="A176" s="188" t="s">
        <v>204</v>
      </c>
      <c r="B176" s="461">
        <v>204129</v>
      </c>
      <c r="C176" s="462"/>
      <c r="D176" s="463">
        <f>B176+C176</f>
        <v>204129</v>
      </c>
      <c r="E176" s="461">
        <v>204129</v>
      </c>
      <c r="F176" s="462"/>
      <c r="G176" s="464">
        <f>E176+F176</f>
        <v>204129</v>
      </c>
    </row>
    <row r="177" spans="1:7" ht="11.25">
      <c r="A177" s="459"/>
      <c r="B177" s="446">
        <f aca="true" t="shared" si="20" ref="B177:G177">SUM(B138:B176)</f>
        <v>9680337</v>
      </c>
      <c r="C177" s="455">
        <f t="shared" si="20"/>
        <v>16685290</v>
      </c>
      <c r="D177" s="456">
        <f t="shared" si="20"/>
        <v>26365627</v>
      </c>
      <c r="E177" s="102">
        <f t="shared" si="20"/>
        <v>9680337</v>
      </c>
      <c r="F177" s="127">
        <f t="shared" si="20"/>
        <v>16685290</v>
      </c>
      <c r="G177" s="457">
        <f t="shared" si="20"/>
        <v>26365627</v>
      </c>
    </row>
    <row r="178" spans="1:7" ht="11.25">
      <c r="A178" s="333"/>
      <c r="B178" s="434"/>
      <c r="C178" s="435"/>
      <c r="D178" s="104"/>
      <c r="E178" s="102"/>
      <c r="F178" s="127"/>
      <c r="G178" s="82"/>
    </row>
    <row r="179" spans="1:7" ht="11.25">
      <c r="A179" s="144" t="s">
        <v>206</v>
      </c>
      <c r="B179" s="321"/>
      <c r="C179" s="30">
        <v>37000</v>
      </c>
      <c r="D179" s="421">
        <f aca="true" t="shared" si="21" ref="D179:D187">B179+C179</f>
        <v>37000</v>
      </c>
      <c r="E179" s="25"/>
      <c r="F179" s="30">
        <v>37000</v>
      </c>
      <c r="G179" s="39">
        <f aca="true" t="shared" si="22" ref="G179:G187">E179+F179</f>
        <v>37000</v>
      </c>
    </row>
    <row r="180" spans="1:7" ht="11.25">
      <c r="A180" s="144" t="s">
        <v>207</v>
      </c>
      <c r="B180" s="321"/>
      <c r="C180" s="30">
        <v>40000</v>
      </c>
      <c r="D180" s="421">
        <f t="shared" si="21"/>
        <v>40000</v>
      </c>
      <c r="E180" s="25"/>
      <c r="F180" s="30">
        <v>45000</v>
      </c>
      <c r="G180" s="39">
        <f t="shared" si="22"/>
        <v>45000</v>
      </c>
    </row>
    <row r="181" spans="1:18" s="444" customFormat="1" ht="11.25">
      <c r="A181" s="144" t="s">
        <v>109</v>
      </c>
      <c r="B181" s="321">
        <f>B177</f>
        <v>9680337</v>
      </c>
      <c r="C181" s="30">
        <v>15950565</v>
      </c>
      <c r="D181" s="421">
        <f t="shared" si="21"/>
        <v>25630902</v>
      </c>
      <c r="E181" s="25">
        <f>E177</f>
        <v>9680337</v>
      </c>
      <c r="F181" s="30">
        <v>17000000</v>
      </c>
      <c r="G181" s="39">
        <f t="shared" si="22"/>
        <v>26680337</v>
      </c>
      <c r="H181" s="2"/>
      <c r="I181" s="460"/>
      <c r="J181" s="2"/>
      <c r="K181" s="2"/>
      <c r="L181" s="2"/>
      <c r="M181" s="2"/>
      <c r="N181" s="2"/>
      <c r="O181" s="2"/>
      <c r="P181" s="2"/>
      <c r="Q181" s="2"/>
      <c r="R181" s="2"/>
    </row>
    <row r="182" spans="1:8" ht="11.25">
      <c r="A182" s="188" t="s">
        <v>166</v>
      </c>
      <c r="B182" s="321"/>
      <c r="C182" s="30">
        <v>500000</v>
      </c>
      <c r="D182" s="421">
        <f t="shared" si="21"/>
        <v>500000</v>
      </c>
      <c r="E182" s="25"/>
      <c r="F182" s="30">
        <v>500000</v>
      </c>
      <c r="G182" s="39">
        <f t="shared" si="22"/>
        <v>500000</v>
      </c>
      <c r="H182" s="324"/>
    </row>
    <row r="183" spans="1:7" ht="11.25">
      <c r="A183" s="188" t="s">
        <v>111</v>
      </c>
      <c r="B183" s="321">
        <v>4063491</v>
      </c>
      <c r="C183" s="30"/>
      <c r="D183" s="421">
        <f t="shared" si="21"/>
        <v>4063491</v>
      </c>
      <c r="E183" s="25">
        <v>4063491</v>
      </c>
      <c r="F183" s="30"/>
      <c r="G183" s="39">
        <f t="shared" si="22"/>
        <v>4063491</v>
      </c>
    </row>
    <row r="184" spans="1:9" ht="11.25">
      <c r="A184" s="188" t="s">
        <v>112</v>
      </c>
      <c r="B184" s="321"/>
      <c r="C184" s="30">
        <v>1200000</v>
      </c>
      <c r="D184" s="421">
        <f t="shared" si="21"/>
        <v>1200000</v>
      </c>
      <c r="E184" s="440"/>
      <c r="F184" s="30">
        <v>700000</v>
      </c>
      <c r="G184" s="39">
        <f t="shared" si="22"/>
        <v>700000</v>
      </c>
      <c r="I184" s="2"/>
    </row>
    <row r="185" spans="1:7" s="2" customFormat="1" ht="11.25">
      <c r="A185" s="144" t="s">
        <v>113</v>
      </c>
      <c r="B185" s="321"/>
      <c r="C185" s="30">
        <v>1000000</v>
      </c>
      <c r="D185" s="421">
        <f t="shared" si="21"/>
        <v>1000000</v>
      </c>
      <c r="E185" s="25"/>
      <c r="F185" s="30">
        <v>2500000</v>
      </c>
      <c r="G185" s="39">
        <f t="shared" si="22"/>
        <v>2500000</v>
      </c>
    </row>
    <row r="186" spans="1:7" s="2" customFormat="1" ht="11.25">
      <c r="A186" s="144" t="s">
        <v>286</v>
      </c>
      <c r="B186" s="321"/>
      <c r="C186" s="30"/>
      <c r="D186" s="421"/>
      <c r="E186" s="72"/>
      <c r="F186" s="30">
        <v>1000000</v>
      </c>
      <c r="G186" s="39">
        <f t="shared" si="22"/>
        <v>1000000</v>
      </c>
    </row>
    <row r="187" spans="1:9" ht="12" thickBot="1">
      <c r="A187" s="144" t="s">
        <v>114</v>
      </c>
      <c r="B187" s="321"/>
      <c r="C187" s="30">
        <v>900000</v>
      </c>
      <c r="D187" s="421">
        <f t="shared" si="21"/>
        <v>900000</v>
      </c>
      <c r="E187" s="72"/>
      <c r="F187" s="30">
        <v>900000</v>
      </c>
      <c r="G187" s="39">
        <f t="shared" si="22"/>
        <v>900000</v>
      </c>
      <c r="I187" s="2"/>
    </row>
    <row r="188" spans="1:9" s="158" customFormat="1" ht="11.25">
      <c r="A188" s="364" t="s">
        <v>106</v>
      </c>
      <c r="B188" s="191">
        <f aca="true" t="shared" si="23" ref="B188:G188">SUM(B179:B187)</f>
        <v>13743828</v>
      </c>
      <c r="C188" s="191">
        <f t="shared" si="23"/>
        <v>19627565</v>
      </c>
      <c r="D188" s="191">
        <f t="shared" si="23"/>
        <v>33371393</v>
      </c>
      <c r="E188" s="204">
        <f t="shared" si="23"/>
        <v>13743828</v>
      </c>
      <c r="F188" s="191">
        <f t="shared" si="23"/>
        <v>22682000</v>
      </c>
      <c r="G188" s="49">
        <f t="shared" si="23"/>
        <v>36425828</v>
      </c>
      <c r="H188" s="324">
        <f>(G188-D188)/D188</f>
        <v>0.09152854362417535</v>
      </c>
      <c r="I188" s="311"/>
    </row>
    <row r="189" spans="1:7" ht="11.25">
      <c r="A189" s="367"/>
      <c r="B189" s="338"/>
      <c r="C189" s="368"/>
      <c r="D189" s="207"/>
      <c r="E189" s="102"/>
      <c r="F189" s="368"/>
      <c r="G189" s="209"/>
    </row>
    <row r="190" spans="1:7" ht="11.25">
      <c r="A190" s="369" t="s">
        <v>115</v>
      </c>
      <c r="B190" s="338"/>
      <c r="C190" s="368"/>
      <c r="D190" s="207"/>
      <c r="E190" s="102"/>
      <c r="F190" s="368"/>
      <c r="G190" s="209"/>
    </row>
    <row r="191" spans="1:7" ht="11.25">
      <c r="A191" s="370" t="s">
        <v>116</v>
      </c>
      <c r="B191" s="102">
        <f>506361+786625</f>
        <v>1292986</v>
      </c>
      <c r="C191" s="368">
        <v>165000</v>
      </c>
      <c r="D191" s="421">
        <f aca="true" t="shared" si="24" ref="D191:D197">B191+C191</f>
        <v>1457986</v>
      </c>
      <c r="E191" s="102">
        <f>506361+786625</f>
        <v>1292986</v>
      </c>
      <c r="F191" s="368">
        <v>165000</v>
      </c>
      <c r="G191" s="39">
        <f>E191+F191</f>
        <v>1457986</v>
      </c>
    </row>
    <row r="192" spans="1:7" ht="11.25">
      <c r="A192" s="188" t="s">
        <v>117</v>
      </c>
      <c r="B192" s="321"/>
      <c r="C192" s="30">
        <v>6000000</v>
      </c>
      <c r="D192" s="421">
        <f t="shared" si="24"/>
        <v>6000000</v>
      </c>
      <c r="E192" s="25"/>
      <c r="F192" s="30">
        <v>7000000</v>
      </c>
      <c r="G192" s="39">
        <f>E192+F192</f>
        <v>7000000</v>
      </c>
    </row>
    <row r="193" spans="1:7" ht="11.25">
      <c r="A193" s="188" t="s">
        <v>118</v>
      </c>
      <c r="B193" s="321"/>
      <c r="C193" s="30">
        <v>1800000</v>
      </c>
      <c r="D193" s="423">
        <f t="shared" si="24"/>
        <v>1800000</v>
      </c>
      <c r="E193" s="25"/>
      <c r="F193" s="30">
        <v>2100000</v>
      </c>
      <c r="G193" s="39">
        <f>E193+F193</f>
        <v>2100000</v>
      </c>
    </row>
    <row r="194" spans="1:7" ht="11.25">
      <c r="A194" s="188" t="s">
        <v>119</v>
      </c>
      <c r="B194" s="321">
        <v>3152182</v>
      </c>
      <c r="C194" s="30"/>
      <c r="D194" s="343">
        <f t="shared" si="24"/>
        <v>3152182</v>
      </c>
      <c r="E194" s="25">
        <v>3152182</v>
      </c>
      <c r="F194" s="30"/>
      <c r="G194" s="39">
        <f>E194+F194</f>
        <v>3152182</v>
      </c>
    </row>
    <row r="195" spans="1:7" ht="11.25">
      <c r="A195" s="337" t="s">
        <v>120</v>
      </c>
      <c r="B195" s="338"/>
      <c r="C195" s="127"/>
      <c r="D195" s="343">
        <f t="shared" si="24"/>
        <v>0</v>
      </c>
      <c r="E195" s="102"/>
      <c r="F195" s="127"/>
      <c r="G195" s="68"/>
    </row>
    <row r="196" spans="1:7" ht="11.25">
      <c r="A196" s="433" t="s">
        <v>208</v>
      </c>
      <c r="B196" s="338"/>
      <c r="C196" s="127">
        <v>150000</v>
      </c>
      <c r="D196" s="343">
        <f t="shared" si="24"/>
        <v>150000</v>
      </c>
      <c r="E196" s="102"/>
      <c r="F196" s="127"/>
      <c r="G196" s="68"/>
    </row>
    <row r="197" spans="1:7" ht="12" thickBot="1">
      <c r="A197" s="433" t="s">
        <v>209</v>
      </c>
      <c r="B197" s="338"/>
      <c r="C197" s="127">
        <v>150000</v>
      </c>
      <c r="D197" s="343">
        <f t="shared" si="24"/>
        <v>150000</v>
      </c>
      <c r="E197" s="102"/>
      <c r="F197" s="127"/>
      <c r="G197" s="68"/>
    </row>
    <row r="198" spans="1:8" s="221" customFormat="1" ht="11.25">
      <c r="A198" s="371" t="s">
        <v>106</v>
      </c>
      <c r="B198" s="372">
        <f aca="true" t="shared" si="25" ref="B198:G198">SUM(B191:B197)</f>
        <v>4445168</v>
      </c>
      <c r="C198" s="372">
        <f t="shared" si="25"/>
        <v>8265000</v>
      </c>
      <c r="D198" s="372">
        <f t="shared" si="25"/>
        <v>12710168</v>
      </c>
      <c r="E198" s="204">
        <f t="shared" si="25"/>
        <v>4445168</v>
      </c>
      <c r="F198" s="372">
        <f t="shared" si="25"/>
        <v>9265000</v>
      </c>
      <c r="G198" s="373">
        <f t="shared" si="25"/>
        <v>13710168</v>
      </c>
      <c r="H198" s="324">
        <f>(G198-D198)/D198</f>
        <v>0.07867716618694576</v>
      </c>
    </row>
    <row r="199" spans="1:10" ht="11.25">
      <c r="A199" s="358"/>
      <c r="B199" s="321"/>
      <c r="C199" s="30"/>
      <c r="D199" s="182"/>
      <c r="E199" s="25"/>
      <c r="F199" s="30"/>
      <c r="G199" s="27"/>
      <c r="J199" s="283"/>
    </row>
    <row r="200" spans="1:7" ht="11.25">
      <c r="A200" s="358" t="s">
        <v>123</v>
      </c>
      <c r="B200" s="321"/>
      <c r="C200" s="30"/>
      <c r="D200" s="182"/>
      <c r="E200" s="25"/>
      <c r="F200" s="30"/>
      <c r="G200" s="27"/>
    </row>
    <row r="201" spans="1:9" ht="12" thickBot="1">
      <c r="A201" s="188" t="s">
        <v>124</v>
      </c>
      <c r="B201" s="321"/>
      <c r="C201" s="30">
        <v>14700000</v>
      </c>
      <c r="D201" s="421">
        <f>B201+C201</f>
        <v>14700000</v>
      </c>
      <c r="E201" s="72"/>
      <c r="F201" s="30">
        <v>15930000</v>
      </c>
      <c r="G201" s="39">
        <f>E201+F201</f>
        <v>15930000</v>
      </c>
      <c r="I201" s="244"/>
    </row>
    <row r="202" spans="1:9" s="158" customFormat="1" ht="11.25">
      <c r="A202" s="364" t="s">
        <v>106</v>
      </c>
      <c r="B202" s="191">
        <f>SUM(B201)</f>
        <v>0</v>
      </c>
      <c r="C202" s="191">
        <f>SUM(C201)</f>
        <v>14700000</v>
      </c>
      <c r="D202" s="422">
        <f>SUM(D201)</f>
        <v>14700000</v>
      </c>
      <c r="E202" s="458">
        <v>0</v>
      </c>
      <c r="F202" s="191">
        <f>SUM(F201)</f>
        <v>15930000</v>
      </c>
      <c r="G202" s="49">
        <f>SUM(G201)</f>
        <v>15930000</v>
      </c>
      <c r="H202" s="324">
        <f>(G202-D202)/D202</f>
        <v>0.0836734693877551</v>
      </c>
      <c r="I202" s="221"/>
    </row>
    <row r="203" spans="1:9" ht="12" thickBot="1">
      <c r="A203" s="374"/>
      <c r="B203" s="341"/>
      <c r="C203" s="73"/>
      <c r="D203" s="224"/>
      <c r="E203" s="72"/>
      <c r="F203" s="73"/>
      <c r="G203" s="225"/>
      <c r="I203" s="283"/>
    </row>
    <row r="204" spans="1:9" s="357" customFormat="1" ht="12" thickBot="1">
      <c r="A204" s="375" t="s">
        <v>125</v>
      </c>
      <c r="B204" s="230">
        <f aca="true" t="shared" si="26" ref="B204:G204">B135+B188+B198+B202</f>
        <v>87689189</v>
      </c>
      <c r="C204" s="230">
        <f t="shared" si="26"/>
        <v>58135314</v>
      </c>
      <c r="D204" s="168">
        <f t="shared" si="26"/>
        <v>145824503</v>
      </c>
      <c r="E204" s="427">
        <f t="shared" si="26"/>
        <v>87689189</v>
      </c>
      <c r="F204" s="168">
        <f t="shared" si="26"/>
        <v>63138338.31</v>
      </c>
      <c r="G204" s="231">
        <f t="shared" si="26"/>
        <v>150827527.31</v>
      </c>
      <c r="H204" s="41">
        <f>(G204-D204)/D204</f>
        <v>0.03430852982231664</v>
      </c>
      <c r="I204" s="314"/>
    </row>
    <row r="205" spans="1:8" ht="11.25">
      <c r="A205" s="376"/>
      <c r="B205" s="338"/>
      <c r="C205" s="127"/>
      <c r="D205" s="104"/>
      <c r="E205" s="102"/>
      <c r="F205" s="127"/>
      <c r="G205" s="106"/>
      <c r="H205" s="315"/>
    </row>
    <row r="206" spans="1:9" s="32" customFormat="1" ht="11.25">
      <c r="A206" s="377" t="s">
        <v>126</v>
      </c>
      <c r="B206" s="321"/>
      <c r="C206" s="30"/>
      <c r="D206" s="182"/>
      <c r="E206" s="25"/>
      <c r="F206" s="30"/>
      <c r="G206" s="27"/>
      <c r="I206" s="316"/>
    </row>
    <row r="207" spans="1:7" ht="11.25">
      <c r="A207" s="188" t="s">
        <v>127</v>
      </c>
      <c r="B207" s="321"/>
      <c r="C207" s="30">
        <v>200000</v>
      </c>
      <c r="D207" s="421">
        <f aca="true" t="shared" si="27" ref="D207:D215">B207+C207</f>
        <v>200000</v>
      </c>
      <c r="E207" s="25"/>
      <c r="F207" s="30">
        <v>300000</v>
      </c>
      <c r="G207" s="39">
        <v>295000</v>
      </c>
    </row>
    <row r="208" spans="1:9" s="2" customFormat="1" ht="11.25">
      <c r="A208" s="144" t="s">
        <v>128</v>
      </c>
      <c r="B208" s="321"/>
      <c r="C208" s="30">
        <v>510000</v>
      </c>
      <c r="D208" s="421">
        <f t="shared" si="27"/>
        <v>510000</v>
      </c>
      <c r="E208" s="25"/>
      <c r="F208" s="30">
        <v>650000</v>
      </c>
      <c r="G208" s="39">
        <f aca="true" t="shared" si="28" ref="G208:G216">E208+F208</f>
        <v>650000</v>
      </c>
      <c r="I208" s="1"/>
    </row>
    <row r="209" spans="1:9" ht="11.25">
      <c r="A209" s="188" t="s">
        <v>246</v>
      </c>
      <c r="B209" s="321"/>
      <c r="C209" s="30"/>
      <c r="D209" s="421">
        <f t="shared" si="27"/>
        <v>0</v>
      </c>
      <c r="E209" s="25">
        <v>4000000</v>
      </c>
      <c r="F209" s="30"/>
      <c r="G209" s="39">
        <f t="shared" si="28"/>
        <v>4000000</v>
      </c>
      <c r="I209" s="221"/>
    </row>
    <row r="210" spans="1:9" ht="11.25">
      <c r="A210" s="188" t="s">
        <v>287</v>
      </c>
      <c r="B210" s="321"/>
      <c r="C210" s="30"/>
      <c r="D210" s="421">
        <f t="shared" si="27"/>
        <v>0</v>
      </c>
      <c r="E210" s="25">
        <v>16562500</v>
      </c>
      <c r="F210" s="30"/>
      <c r="G210" s="39">
        <f t="shared" si="28"/>
        <v>16562500</v>
      </c>
      <c r="I210" s="221"/>
    </row>
    <row r="211" spans="1:7" ht="11.25">
      <c r="A211" s="188" t="s">
        <v>130</v>
      </c>
      <c r="B211" s="321"/>
      <c r="C211" s="30"/>
      <c r="D211" s="421">
        <f t="shared" si="27"/>
        <v>0</v>
      </c>
      <c r="E211" s="25">
        <v>240000</v>
      </c>
      <c r="F211" s="30"/>
      <c r="G211" s="39">
        <f t="shared" si="28"/>
        <v>240000</v>
      </c>
    </row>
    <row r="212" spans="1:7" ht="11.25">
      <c r="A212" s="188" t="s">
        <v>131</v>
      </c>
      <c r="B212" s="321">
        <v>3800000</v>
      </c>
      <c r="C212" s="30"/>
      <c r="D212" s="421">
        <f t="shared" si="27"/>
        <v>3800000</v>
      </c>
      <c r="E212" s="25">
        <v>4000000</v>
      </c>
      <c r="F212" s="30"/>
      <c r="G212" s="39">
        <f t="shared" si="28"/>
        <v>4000000</v>
      </c>
    </row>
    <row r="213" spans="1:7" ht="11.25">
      <c r="A213" s="188" t="s">
        <v>132</v>
      </c>
      <c r="B213" s="321"/>
      <c r="C213" s="30"/>
      <c r="D213" s="421">
        <f t="shared" si="27"/>
        <v>0</v>
      </c>
      <c r="E213" s="25">
        <v>2000000</v>
      </c>
      <c r="F213" s="30"/>
      <c r="G213" s="39">
        <f t="shared" si="28"/>
        <v>2000000</v>
      </c>
    </row>
    <row r="214" spans="1:7" ht="11.25">
      <c r="A214" s="144" t="s">
        <v>245</v>
      </c>
      <c r="B214" s="321">
        <v>400000</v>
      </c>
      <c r="C214" s="30"/>
      <c r="D214" s="421">
        <f t="shared" si="27"/>
        <v>400000</v>
      </c>
      <c r="E214" s="25">
        <v>400000</v>
      </c>
      <c r="F214" s="30"/>
      <c r="G214" s="39">
        <f t="shared" si="28"/>
        <v>400000</v>
      </c>
    </row>
    <row r="215" spans="1:7" ht="11.25">
      <c r="A215" s="188" t="s">
        <v>135</v>
      </c>
      <c r="B215" s="321">
        <v>130000</v>
      </c>
      <c r="C215" s="30"/>
      <c r="D215" s="421">
        <f t="shared" si="27"/>
        <v>130000</v>
      </c>
      <c r="E215" s="25">
        <v>130000</v>
      </c>
      <c r="F215" s="30"/>
      <c r="G215" s="39">
        <f t="shared" si="28"/>
        <v>130000</v>
      </c>
    </row>
    <row r="216" spans="1:9" ht="11.25">
      <c r="A216" s="188" t="s">
        <v>138</v>
      </c>
      <c r="B216" s="321">
        <v>2000000</v>
      </c>
      <c r="C216" s="30"/>
      <c r="D216" s="421">
        <v>2590656</v>
      </c>
      <c r="E216" s="25">
        <v>1000000</v>
      </c>
      <c r="F216" s="30"/>
      <c r="G216" s="39">
        <f t="shared" si="28"/>
        <v>1000000</v>
      </c>
      <c r="I216" s="221"/>
    </row>
    <row r="217" spans="1:9" ht="12" thickBot="1">
      <c r="A217" s="188"/>
      <c r="B217" s="321"/>
      <c r="C217" s="30"/>
      <c r="D217" s="115"/>
      <c r="E217" s="428"/>
      <c r="F217" s="339"/>
      <c r="G217" s="39"/>
      <c r="I217" s="221"/>
    </row>
    <row r="218" spans="1:8" s="244" customFormat="1" ht="11.25">
      <c r="A218" s="378" t="s">
        <v>140</v>
      </c>
      <c r="B218" s="379">
        <f aca="true" t="shared" si="29" ref="B218:G218">SUM(B207:B217)</f>
        <v>6330000</v>
      </c>
      <c r="C218" s="379">
        <f t="shared" si="29"/>
        <v>710000</v>
      </c>
      <c r="D218" s="380">
        <f t="shared" si="29"/>
        <v>7630656</v>
      </c>
      <c r="E218" s="381">
        <f t="shared" si="29"/>
        <v>28332500</v>
      </c>
      <c r="F218" s="379">
        <f t="shared" si="29"/>
        <v>950000</v>
      </c>
      <c r="G218" s="382">
        <f t="shared" si="29"/>
        <v>29277500</v>
      </c>
      <c r="H218" s="41"/>
    </row>
    <row r="219" spans="1:7" s="244" customFormat="1" ht="11.25">
      <c r="A219" s="383"/>
      <c r="B219" s="384"/>
      <c r="C219" s="242"/>
      <c r="D219" s="176"/>
      <c r="E219" s="241"/>
      <c r="F219" s="242"/>
      <c r="G219" s="178"/>
    </row>
    <row r="220" spans="1:7" s="357" customFormat="1" ht="11.25">
      <c r="A220" s="322" t="s">
        <v>141</v>
      </c>
      <c r="B220" s="385"/>
      <c r="C220" s="386">
        <v>1300000</v>
      </c>
      <c r="D220" s="387">
        <f>SUM(B220:C220)</f>
        <v>1300000</v>
      </c>
      <c r="E220" s="388">
        <f>1559000+451</f>
        <v>1559451</v>
      </c>
      <c r="F220" s="386">
        <v>1560379</v>
      </c>
      <c r="G220" s="389">
        <f>SUM(E220:F220)</f>
        <v>3119830</v>
      </c>
    </row>
    <row r="221" spans="1:7" s="258" customFormat="1" ht="12" thickBot="1">
      <c r="A221" s="390"/>
      <c r="B221" s="391"/>
      <c r="C221" s="255"/>
      <c r="D221" s="256"/>
      <c r="E221" s="254"/>
      <c r="F221" s="255"/>
      <c r="G221" s="392"/>
    </row>
    <row r="222" spans="1:10" s="32" customFormat="1" ht="18.75" customHeight="1" thickBot="1">
      <c r="A222" s="393" t="s">
        <v>9</v>
      </c>
      <c r="B222" s="262">
        <f aca="true" t="shared" si="30" ref="B222:G222">B100+B204+B218+B220</f>
        <v>137268108</v>
      </c>
      <c r="C222" s="262">
        <f t="shared" si="30"/>
        <v>87844468</v>
      </c>
      <c r="D222" s="424">
        <f t="shared" si="30"/>
        <v>225703232</v>
      </c>
      <c r="E222" s="262">
        <f t="shared" si="30"/>
        <v>161538471</v>
      </c>
      <c r="F222" s="262">
        <f t="shared" si="30"/>
        <v>97341217.31</v>
      </c>
      <c r="G222" s="429">
        <f t="shared" si="30"/>
        <v>259850060.31</v>
      </c>
      <c r="H222" s="41" t="s">
        <v>169</v>
      </c>
      <c r="I222" s="280"/>
      <c r="J222" s="280"/>
    </row>
    <row r="223" spans="1:7" ht="11.25">
      <c r="A223" s="32"/>
      <c r="B223" s="263"/>
      <c r="C223" s="263"/>
      <c r="D223" s="263"/>
      <c r="E223" s="263"/>
      <c r="F223" s="264"/>
      <c r="G223" s="263"/>
    </row>
    <row r="224" spans="1:7" ht="12" thickBot="1">
      <c r="A224" s="258" t="s">
        <v>142</v>
      </c>
      <c r="B224" s="263"/>
      <c r="C224" s="263"/>
      <c r="D224" s="264"/>
      <c r="E224" s="263"/>
      <c r="F224" s="263"/>
      <c r="G224" s="264"/>
    </row>
    <row r="225" spans="1:10" ht="11.25">
      <c r="A225" s="265" t="s">
        <v>172</v>
      </c>
      <c r="B225" s="263"/>
      <c r="C225" s="266"/>
      <c r="D225" s="267">
        <f>196227331+750000-35858-369</f>
        <v>196941104</v>
      </c>
      <c r="E225" s="263"/>
      <c r="F225" s="266"/>
      <c r="G225" s="267">
        <v>221850000</v>
      </c>
      <c r="H225" s="221" t="s">
        <v>275</v>
      </c>
      <c r="I225" s="268"/>
      <c r="J225" s="268"/>
    </row>
    <row r="226" spans="1:9" ht="11.25">
      <c r="A226" s="265" t="s">
        <v>145</v>
      </c>
      <c r="B226" s="271"/>
      <c r="C226" s="263"/>
      <c r="D226" s="269">
        <v>11500000</v>
      </c>
      <c r="E226" s="272"/>
      <c r="F226" s="263"/>
      <c r="G226" s="269">
        <v>16130060</v>
      </c>
      <c r="H226" s="268"/>
      <c r="I226" s="268"/>
    </row>
    <row r="227" spans="1:7" ht="11.25">
      <c r="A227" s="265" t="s">
        <v>146</v>
      </c>
      <c r="B227" s="271"/>
      <c r="C227" s="263"/>
      <c r="D227" s="269">
        <v>700000</v>
      </c>
      <c r="E227" s="271"/>
      <c r="F227" s="263"/>
      <c r="G227" s="269">
        <v>690000</v>
      </c>
    </row>
    <row r="228" spans="1:7" ht="11.25">
      <c r="A228" s="265" t="s">
        <v>147</v>
      </c>
      <c r="B228" s="271"/>
      <c r="C228" s="263"/>
      <c r="D228" s="269">
        <v>2500000</v>
      </c>
      <c r="E228" s="271"/>
      <c r="F228" s="263"/>
      <c r="G228" s="269">
        <v>2500000</v>
      </c>
    </row>
    <row r="229" spans="1:7" ht="12" thickBot="1">
      <c r="A229" s="265" t="s">
        <v>148</v>
      </c>
      <c r="B229" s="263"/>
      <c r="C229" s="263"/>
      <c r="D229" s="273">
        <v>15000000</v>
      </c>
      <c r="E229" s="263"/>
      <c r="F229" s="263"/>
      <c r="G229" s="273">
        <v>18680000</v>
      </c>
    </row>
    <row r="230" spans="1:8" s="179" customFormat="1" ht="12" thickBot="1">
      <c r="A230" s="244" t="s">
        <v>149</v>
      </c>
      <c r="B230" s="274"/>
      <c r="C230" s="275"/>
      <c r="D230" s="394">
        <f>SUM(D225:D229)</f>
        <v>226641104</v>
      </c>
      <c r="E230" s="274"/>
      <c r="F230" s="274"/>
      <c r="G230" s="394">
        <f>SUM(G225:G229)</f>
        <v>259850060</v>
      </c>
      <c r="H230" s="324"/>
    </row>
    <row r="231" spans="1:7" ht="12" thickBot="1">
      <c r="A231" s="277" t="s">
        <v>150</v>
      </c>
      <c r="B231" s="264"/>
      <c r="C231" s="263"/>
      <c r="D231" s="278">
        <f>D230-D222</f>
        <v>937872</v>
      </c>
      <c r="E231" s="264"/>
      <c r="F231" s="263"/>
      <c r="G231" s="278">
        <f>G230-G222</f>
        <v>-0.3100000023841858</v>
      </c>
    </row>
    <row r="232" spans="1:7" ht="12" thickTop="1">
      <c r="A232" s="32"/>
      <c r="B232" s="263"/>
      <c r="C232" s="266"/>
      <c r="D232" s="264"/>
      <c r="E232" s="263"/>
      <c r="F232" s="266"/>
      <c r="G232" s="264"/>
    </row>
    <row r="233" spans="1:7" ht="11.25">
      <c r="A233" s="32"/>
      <c r="B233" s="395"/>
      <c r="C233" s="396"/>
      <c r="D233" s="280"/>
      <c r="E233" s="32"/>
      <c r="F233" s="279"/>
      <c r="G233" s="280"/>
    </row>
    <row r="234" spans="1:7" ht="11.25">
      <c r="A234" s="221"/>
      <c r="B234" s="280"/>
      <c r="C234" s="397"/>
      <c r="D234" s="280"/>
      <c r="E234" s="32"/>
      <c r="F234" s="279"/>
      <c r="G234" s="280"/>
    </row>
    <row r="235" spans="1:7" ht="11.25">
      <c r="A235" s="221" t="s">
        <v>248</v>
      </c>
      <c r="B235" s="32"/>
      <c r="C235" s="280"/>
      <c r="D235" s="32"/>
      <c r="E235" s="32"/>
      <c r="F235" s="280"/>
      <c r="G235" s="32"/>
    </row>
    <row r="236" spans="1:7" ht="11.25">
      <c r="A236" s="32" t="s">
        <v>247</v>
      </c>
      <c r="B236" s="280"/>
      <c r="C236" s="32"/>
      <c r="D236" s="32"/>
      <c r="E236" s="32"/>
      <c r="F236" s="32"/>
      <c r="G236" s="32"/>
    </row>
    <row r="237" spans="1:7" ht="11.25">
      <c r="A237" s="281" t="s">
        <v>251</v>
      </c>
      <c r="B237" s="32"/>
      <c r="C237" s="32"/>
      <c r="D237" s="32"/>
      <c r="E237" s="32"/>
      <c r="F237" s="32"/>
      <c r="G237" s="32"/>
    </row>
    <row r="238" spans="1:7" ht="11.25">
      <c r="A238" s="32" t="s">
        <v>249</v>
      </c>
      <c r="B238" s="32"/>
      <c r="C238" s="32"/>
      <c r="D238" s="280"/>
      <c r="E238" s="32"/>
      <c r="F238" s="32"/>
      <c r="G238" s="280"/>
    </row>
    <row r="239" spans="1:7" ht="11.25">
      <c r="A239" s="32" t="s">
        <v>250</v>
      </c>
      <c r="B239" s="32"/>
      <c r="C239" s="32"/>
      <c r="D239" s="280"/>
      <c r="E239" s="32"/>
      <c r="F239" s="32"/>
      <c r="G239" s="280"/>
    </row>
    <row r="240" spans="1:7" ht="11.25">
      <c r="A240" s="221" t="s">
        <v>253</v>
      </c>
      <c r="B240" s="280"/>
      <c r="C240" s="32"/>
      <c r="D240" s="32"/>
      <c r="E240" s="32"/>
      <c r="F240" s="32"/>
      <c r="G240" s="32"/>
    </row>
    <row r="241" spans="1:7" ht="11.25">
      <c r="A241" s="32" t="s">
        <v>252</v>
      </c>
      <c r="B241" s="32"/>
      <c r="C241" s="32"/>
      <c r="D241" s="32"/>
      <c r="E241" s="32"/>
      <c r="F241" s="32"/>
      <c r="G241" s="32"/>
    </row>
    <row r="242" spans="1:7" ht="11.25">
      <c r="A242" s="221" t="s">
        <v>255</v>
      </c>
      <c r="B242" s="32"/>
      <c r="C242" s="32"/>
      <c r="D242" s="32"/>
      <c r="E242" s="32"/>
      <c r="F242" s="32"/>
      <c r="G242" s="32"/>
    </row>
    <row r="243" spans="1:7" ht="11.25">
      <c r="A243" s="32" t="s">
        <v>254</v>
      </c>
      <c r="B243" s="32"/>
      <c r="C243" s="32"/>
      <c r="D243" s="32"/>
      <c r="E243" s="32"/>
      <c r="F243" s="32"/>
      <c r="G243" s="32"/>
    </row>
    <row r="244" spans="1:7" ht="11.25">
      <c r="A244" s="221" t="s">
        <v>256</v>
      </c>
      <c r="B244" s="32"/>
      <c r="C244" s="32"/>
      <c r="D244" s="32"/>
      <c r="E244" s="32"/>
      <c r="F244" s="32"/>
      <c r="G244" s="32"/>
    </row>
    <row r="245" spans="1:7" ht="11.25">
      <c r="A245" s="32" t="s">
        <v>257</v>
      </c>
      <c r="B245" s="32"/>
      <c r="C245" s="32"/>
      <c r="D245" s="32"/>
      <c r="E245" s="32"/>
      <c r="F245" s="32"/>
      <c r="G245" s="32"/>
    </row>
    <row r="246" spans="1:7" ht="11.25">
      <c r="A246" s="32" t="s">
        <v>258</v>
      </c>
      <c r="B246" s="32"/>
      <c r="C246" s="32"/>
      <c r="D246" s="32"/>
      <c r="E246" s="32"/>
      <c r="F246" s="32"/>
      <c r="G246" s="32"/>
    </row>
    <row r="247" spans="1:7" ht="11.25">
      <c r="A247" s="32" t="s">
        <v>259</v>
      </c>
      <c r="B247" s="32"/>
      <c r="C247" s="32"/>
      <c r="D247" s="32"/>
      <c r="E247" s="32"/>
      <c r="F247" s="32"/>
      <c r="G247" s="32"/>
    </row>
    <row r="248" spans="1:7" ht="11.25">
      <c r="A248" s="221" t="s">
        <v>260</v>
      </c>
      <c r="B248" s="32"/>
      <c r="C248" s="32"/>
      <c r="D248" s="32"/>
      <c r="E248" s="32"/>
      <c r="F248" s="32"/>
      <c r="G248" s="32"/>
    </row>
    <row r="249" spans="1:7" ht="11.25">
      <c r="A249" s="32" t="s">
        <v>261</v>
      </c>
      <c r="B249" s="32"/>
      <c r="C249" s="32"/>
      <c r="D249" s="32"/>
      <c r="E249" s="32"/>
      <c r="F249" s="32"/>
      <c r="G249" s="32"/>
    </row>
    <row r="250" spans="1:7" ht="11.25">
      <c r="A250" s="32" t="s">
        <v>262</v>
      </c>
      <c r="B250" s="32"/>
      <c r="C250" s="32"/>
      <c r="D250" s="32"/>
      <c r="E250" s="32"/>
      <c r="F250" s="32"/>
      <c r="G250" s="32"/>
    </row>
    <row r="251" spans="1:7" ht="11.25">
      <c r="A251" s="32" t="s">
        <v>276</v>
      </c>
      <c r="B251" s="32"/>
      <c r="C251" s="32"/>
      <c r="D251" s="32"/>
      <c r="E251" s="32"/>
      <c r="F251" s="32"/>
      <c r="G251" s="32"/>
    </row>
    <row r="252" spans="1:7" ht="11.25">
      <c r="A252" s="32" t="s">
        <v>277</v>
      </c>
      <c r="B252" s="32"/>
      <c r="C252" s="32"/>
      <c r="D252" s="32"/>
      <c r="E252" s="32"/>
      <c r="F252" s="32"/>
      <c r="G252" s="32"/>
    </row>
    <row r="253" spans="1:7" ht="11.25">
      <c r="A253" s="32" t="s">
        <v>278</v>
      </c>
      <c r="B253" s="32"/>
      <c r="C253" s="32"/>
      <c r="D253" s="32"/>
      <c r="E253" s="32"/>
      <c r="F253" s="32"/>
      <c r="G253" s="32"/>
    </row>
    <row r="254" spans="1:7" ht="11.25">
      <c r="A254" s="32" t="s">
        <v>279</v>
      </c>
      <c r="B254" s="32"/>
      <c r="C254" s="32"/>
      <c r="D254" s="32"/>
      <c r="E254" s="32"/>
      <c r="F254" s="32"/>
      <c r="G254" s="32"/>
    </row>
    <row r="255" spans="1:7" ht="11.25">
      <c r="A255" s="221" t="s">
        <v>266</v>
      </c>
      <c r="B255" s="32"/>
      <c r="C255" s="32"/>
      <c r="D255" s="32"/>
      <c r="E255" s="32"/>
      <c r="F255" s="32"/>
      <c r="G255" s="32"/>
    </row>
    <row r="256" spans="1:7" ht="11.25">
      <c r="A256" s="32" t="s">
        <v>267</v>
      </c>
      <c r="B256" s="32"/>
      <c r="C256" s="32"/>
      <c r="D256" s="32"/>
      <c r="E256" s="32"/>
      <c r="F256" s="32"/>
      <c r="G256" s="32"/>
    </row>
    <row r="257" spans="1:7" ht="11.25">
      <c r="A257" s="32" t="s">
        <v>268</v>
      </c>
      <c r="B257" s="32"/>
      <c r="C257" s="32"/>
      <c r="D257" s="32"/>
      <c r="E257" s="32"/>
      <c r="F257" s="32"/>
      <c r="G257" s="32"/>
    </row>
    <row r="258" spans="1:7" ht="11.25">
      <c r="A258" s="32" t="s">
        <v>269</v>
      </c>
      <c r="B258" s="32"/>
      <c r="C258" s="32"/>
      <c r="D258" s="32"/>
      <c r="E258" s="32"/>
      <c r="F258" s="32"/>
      <c r="G258" s="32"/>
    </row>
    <row r="259" spans="1:7" ht="11.25">
      <c r="A259" s="32" t="s">
        <v>270</v>
      </c>
      <c r="B259" s="32"/>
      <c r="C259" s="32"/>
      <c r="D259" s="32"/>
      <c r="E259" s="32"/>
      <c r="F259" s="32"/>
      <c r="G259" s="32"/>
    </row>
    <row r="260" spans="1:7" ht="11.25">
      <c r="A260" s="32"/>
      <c r="B260" s="32"/>
      <c r="C260" s="32"/>
      <c r="D260" s="32"/>
      <c r="E260" s="32"/>
      <c r="F260" s="32"/>
      <c r="G260" s="32"/>
    </row>
    <row r="261" spans="1:7" ht="11.25">
      <c r="A261" s="32" t="s">
        <v>271</v>
      </c>
      <c r="B261" s="32"/>
      <c r="C261" s="32"/>
      <c r="D261" s="32"/>
      <c r="E261" s="32"/>
      <c r="F261" s="32"/>
      <c r="G261" s="32"/>
    </row>
    <row r="262" spans="1:7" ht="11.25">
      <c r="A262" s="32" t="s">
        <v>272</v>
      </c>
      <c r="B262" s="32"/>
      <c r="C262" s="32"/>
      <c r="D262" s="32"/>
      <c r="E262" s="32"/>
      <c r="F262" s="32"/>
      <c r="G262" s="32"/>
    </row>
    <row r="263" spans="1:7" ht="11.25">
      <c r="A263" s="32" t="s">
        <v>273</v>
      </c>
      <c r="B263" s="32"/>
      <c r="C263" s="32"/>
      <c r="D263" s="32"/>
      <c r="E263" s="32"/>
      <c r="F263" s="32"/>
      <c r="G263" s="32"/>
    </row>
    <row r="264" spans="1:7" ht="11.25">
      <c r="A264" s="32" t="s">
        <v>274</v>
      </c>
      <c r="B264" s="32"/>
      <c r="C264" s="32"/>
      <c r="D264" s="32"/>
      <c r="E264" s="32"/>
      <c r="F264" s="32"/>
      <c r="G264" s="32"/>
    </row>
    <row r="265" spans="1:7" ht="11.25">
      <c r="A265" s="32"/>
      <c r="B265" s="32"/>
      <c r="C265" s="32"/>
      <c r="D265" s="32"/>
      <c r="E265" s="32"/>
      <c r="F265" s="32"/>
      <c r="G265" s="32"/>
    </row>
    <row r="266" spans="1:7" ht="11.25">
      <c r="A266" s="32" t="s">
        <v>280</v>
      </c>
      <c r="B266" s="32"/>
      <c r="C266" s="32"/>
      <c r="D266" s="32"/>
      <c r="E266" s="32"/>
      <c r="F266" s="32"/>
      <c r="G266" s="32"/>
    </row>
    <row r="267" spans="1:7" ht="11.25">
      <c r="A267" s="32" t="s">
        <v>281</v>
      </c>
      <c r="B267" s="32"/>
      <c r="C267" s="32"/>
      <c r="D267" s="32"/>
      <c r="E267" s="32"/>
      <c r="F267" s="32"/>
      <c r="G267" s="32"/>
    </row>
    <row r="268" spans="1:7" ht="11.25">
      <c r="A268" s="32" t="s">
        <v>282</v>
      </c>
      <c r="B268" s="32"/>
      <c r="C268" s="32"/>
      <c r="D268" s="32"/>
      <c r="E268" s="32"/>
      <c r="F268" s="32"/>
      <c r="G268" s="32"/>
    </row>
    <row r="269" spans="1:7" ht="11.25">
      <c r="A269" s="32" t="s">
        <v>283</v>
      </c>
      <c r="B269" s="32"/>
      <c r="C269" s="32"/>
      <c r="D269" s="32"/>
      <c r="E269" s="32"/>
      <c r="F269" s="32"/>
      <c r="G269" s="32"/>
    </row>
    <row r="270" spans="1:7" ht="11.25">
      <c r="A270" s="221"/>
      <c r="B270" s="32"/>
      <c r="C270" s="32"/>
      <c r="D270" s="32"/>
      <c r="E270" s="32"/>
      <c r="F270" s="32"/>
      <c r="G270" s="32"/>
    </row>
    <row r="271" spans="1:7" ht="11.25">
      <c r="A271" s="32"/>
      <c r="B271" s="32"/>
      <c r="C271" s="32"/>
      <c r="D271" s="32"/>
      <c r="E271" s="32"/>
      <c r="F271" s="32"/>
      <c r="G271" s="32"/>
    </row>
    <row r="272" spans="1:7" ht="11.25">
      <c r="A272" s="221"/>
      <c r="B272" s="32"/>
      <c r="C272" s="32"/>
      <c r="D272" s="32"/>
      <c r="E272" s="32"/>
      <c r="F272" s="32"/>
      <c r="G272" s="32"/>
    </row>
    <row r="273" spans="1:7" ht="11.25">
      <c r="A273" s="32"/>
      <c r="B273" s="32"/>
      <c r="C273" s="32"/>
      <c r="D273" s="32"/>
      <c r="E273" s="32"/>
      <c r="F273" s="32"/>
      <c r="G273" s="32"/>
    </row>
    <row r="274" ht="11.25">
      <c r="A274" s="221"/>
    </row>
    <row r="275" ht="11.25">
      <c r="A275" s="221"/>
    </row>
    <row r="276" ht="11.25">
      <c r="A276" s="32"/>
    </row>
    <row r="277" ht="11.25">
      <c r="A277" s="221"/>
    </row>
    <row r="278" ht="11.25">
      <c r="A278" s="32"/>
    </row>
    <row r="279" ht="11.25">
      <c r="A279" s="32"/>
    </row>
    <row r="280" ht="11.25">
      <c r="A280" s="221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</sheetData>
  <sheetProtection/>
  <mergeCells count="5">
    <mergeCell ref="H102:I102"/>
    <mergeCell ref="B5:D5"/>
    <mergeCell ref="E5:G5"/>
    <mergeCell ref="B6:D6"/>
    <mergeCell ref="E6:G6"/>
  </mergeCells>
  <printOptions/>
  <pageMargins left="0.25" right="0.25" top="0.33" bottom="0.64" header="0.17" footer="0.5"/>
  <pageSetup fitToHeight="2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bmahlang</dc:creator>
  <cp:keywords/>
  <dc:description/>
  <cp:lastModifiedBy>Tony MBewu</cp:lastModifiedBy>
  <cp:lastPrinted>2009-06-15T10:25:35Z</cp:lastPrinted>
  <dcterms:created xsi:type="dcterms:W3CDTF">2008-03-13T06:53:16Z</dcterms:created>
  <dcterms:modified xsi:type="dcterms:W3CDTF">2009-06-24T11:22:42Z</dcterms:modified>
  <cp:category/>
  <cp:version/>
  <cp:contentType/>
  <cp:contentStatus/>
</cp:coreProperties>
</file>