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ikiwe Ncetezo\Desktop\Questions\"/>
    </mc:Choice>
  </mc:AlternateContent>
  <bookViews>
    <workbookView xWindow="0" yWindow="0" windowWidth="15345" windowHeight="4575" firstSheet="2" activeTab="2"/>
  </bookViews>
  <sheets>
    <sheet name="23 April 2020" sheetId="17" state="hidden" r:id="rId1"/>
    <sheet name="Details per Province" sheetId="16" state="hidden" r:id="rId2"/>
    <sheet name=" DWS 18 04 2020" sheetId="15" r:id="rId3"/>
    <sheet name=" DWS Summary" sheetId="21" state="hidden" r:id="rId4"/>
    <sheet name="Suppliers" sheetId="11" r:id="rId5"/>
    <sheet name="Bank" sheetId="13" state="hidden" r:id="rId6"/>
    <sheet name="Process" sheetId="12" state="hidden" r:id="rId7"/>
  </sheets>
  <externalReferences>
    <externalReference r:id="rId8"/>
  </externalReferences>
  <definedNames>
    <definedName name="_xlnm.Print_Area" localSheetId="2">' DWS 18 04 2020'!$B$3:$G$15</definedName>
    <definedName name="_xlnm.Print_Area" localSheetId="3">' DWS Summary'!$B$3:$H$15</definedName>
    <definedName name="_xlnm.Print_Area" localSheetId="1">'Details per Province'!$A$1:$F$161</definedName>
    <definedName name="_xlnm.Print_Area" localSheetId="6">Process!$A$1:$E$33</definedName>
    <definedName name="_xlnm.Print_Area" localSheetId="4">Suppliers!$B$1:$H$194</definedName>
  </definedNames>
  <calcPr calcId="162913"/>
</workbook>
</file>

<file path=xl/calcChain.xml><?xml version="1.0" encoding="utf-8"?>
<calcChain xmlns="http://schemas.openxmlformats.org/spreadsheetml/2006/main">
  <c r="G7" i="21" l="1"/>
  <c r="G9" i="11" l="1"/>
  <c r="G10" i="11"/>
  <c r="G12" i="11"/>
  <c r="H13" i="11"/>
  <c r="D14" i="11"/>
  <c r="E14" i="11"/>
  <c r="F14" i="11"/>
  <c r="H14" i="11"/>
  <c r="G15" i="11"/>
  <c r="F27" i="11"/>
  <c r="F28" i="11"/>
  <c r="G29" i="11"/>
  <c r="G38" i="11" s="1"/>
  <c r="D30" i="11"/>
  <c r="E30" i="11"/>
  <c r="F30" i="11"/>
  <c r="H30" i="11"/>
  <c r="F31" i="11"/>
  <c r="G41" i="11"/>
  <c r="G42" i="11"/>
  <c r="G61" i="11" s="1"/>
  <c r="D44" i="11"/>
  <c r="E44" i="11"/>
  <c r="F44" i="11"/>
  <c r="G45" i="11"/>
  <c r="G46" i="11"/>
  <c r="D48" i="11"/>
  <c r="E48" i="11"/>
  <c r="F48" i="11"/>
  <c r="D65" i="11"/>
  <c r="F65" i="11"/>
  <c r="D66" i="11"/>
  <c r="G66" i="11"/>
  <c r="G68" i="11"/>
  <c r="G24" i="11" l="1"/>
  <c r="G178" i="11"/>
  <c r="G77" i="11"/>
  <c r="F119" i="11" l="1"/>
  <c r="D119" i="11"/>
  <c r="G187" i="11" l="1"/>
  <c r="J5" i="21" l="1"/>
  <c r="G4" i="21"/>
  <c r="G12" i="21" l="1"/>
  <c r="G16" i="21"/>
  <c r="I11" i="21" l="1"/>
  <c r="J11" i="21" s="1"/>
  <c r="F13" i="21" l="1"/>
  <c r="E82" i="11" l="1"/>
  <c r="C185" i="11"/>
  <c r="C157" i="11" s="1"/>
  <c r="C186" i="11" s="1"/>
  <c r="G156" i="11"/>
  <c r="E71" i="11"/>
  <c r="D71" i="11"/>
  <c r="D129" i="11"/>
  <c r="D128" i="11" l="1"/>
  <c r="E128" i="11"/>
  <c r="J135" i="11"/>
  <c r="F92" i="11"/>
  <c r="E92" i="11"/>
  <c r="G153" i="11" l="1"/>
  <c r="G152" i="11"/>
  <c r="E153" i="11"/>
  <c r="G112" i="11"/>
  <c r="F112" i="11"/>
  <c r="D112" i="11"/>
  <c r="F127" i="11"/>
  <c r="D89" i="11"/>
  <c r="D92" i="11" s="1"/>
  <c r="D127" i="11"/>
  <c r="G81" i="11"/>
  <c r="G86" i="11" s="1"/>
  <c r="D94" i="11"/>
  <c r="D95" i="11" s="1"/>
  <c r="E94" i="11"/>
  <c r="E95" i="11" s="1"/>
  <c r="G93" i="11"/>
  <c r="G111" i="11"/>
  <c r="F111" i="11"/>
  <c r="D111" i="11"/>
  <c r="G145" i="11" l="1"/>
  <c r="G144" i="11"/>
  <c r="G143" i="11"/>
  <c r="G142" i="11"/>
  <c r="G164" i="11" s="1"/>
  <c r="G110" i="11"/>
  <c r="G109" i="11"/>
  <c r="G120" i="11" s="1"/>
  <c r="G91" i="11"/>
  <c r="G105" i="11" s="1"/>
  <c r="F91" i="11"/>
  <c r="F96" i="11" s="1"/>
  <c r="E91" i="11"/>
  <c r="D91" i="11"/>
  <c r="D96" i="11" s="1"/>
  <c r="G125" i="11"/>
  <c r="G134" i="11" s="1"/>
  <c r="E124" i="11"/>
  <c r="D124" i="11"/>
  <c r="F123" i="11"/>
  <c r="E123" i="11"/>
  <c r="D123" i="11"/>
  <c r="H80" i="11"/>
  <c r="H81" i="11" s="1"/>
  <c r="F80" i="11"/>
  <c r="D80" i="11"/>
  <c r="D82" i="11" s="1"/>
  <c r="H23" i="21"/>
  <c r="K16" i="21"/>
  <c r="K15" i="21"/>
  <c r="E15" i="21"/>
  <c r="K14" i="21"/>
  <c r="I14" i="21"/>
  <c r="J14" i="21" s="1"/>
  <c r="K13" i="21"/>
  <c r="H13" i="21"/>
  <c r="K12" i="21"/>
  <c r="K11" i="21"/>
  <c r="H11" i="21"/>
  <c r="F11" i="21"/>
  <c r="E11" i="21"/>
  <c r="I10" i="21"/>
  <c r="J10" i="21" s="1"/>
  <c r="D10" i="21"/>
  <c r="I9" i="21"/>
  <c r="J9" i="21" s="1"/>
  <c r="D9" i="21"/>
  <c r="D8" i="21"/>
  <c r="D7" i="21"/>
  <c r="I6" i="21"/>
  <c r="J6" i="21" s="1"/>
  <c r="D6" i="21"/>
  <c r="D4" i="21"/>
  <c r="G23" i="15"/>
  <c r="I16" i="15"/>
  <c r="I15" i="15"/>
  <c r="E15" i="15"/>
  <c r="C15" i="15"/>
  <c r="I14" i="15"/>
  <c r="I13" i="15"/>
  <c r="G13" i="15"/>
  <c r="F13" i="15"/>
  <c r="H13" i="15" s="1"/>
  <c r="C13" i="15"/>
  <c r="I12" i="15"/>
  <c r="F12" i="15"/>
  <c r="F14" i="15" s="1"/>
  <c r="I11" i="15"/>
  <c r="G11" i="15"/>
  <c r="F11" i="15"/>
  <c r="H11" i="15" s="1"/>
  <c r="E11" i="15"/>
  <c r="C11" i="15"/>
  <c r="H10" i="15"/>
  <c r="D10" i="15"/>
  <c r="C10" i="15"/>
  <c r="H9" i="15"/>
  <c r="D9" i="15"/>
  <c r="C9" i="15"/>
  <c r="H8" i="15"/>
  <c r="D8" i="15"/>
  <c r="C8" i="15"/>
  <c r="H7" i="15"/>
  <c r="D7" i="15"/>
  <c r="H6" i="15"/>
  <c r="D6" i="15"/>
  <c r="H5" i="15"/>
  <c r="H4" i="15"/>
  <c r="D4" i="15"/>
  <c r="C4" i="15"/>
  <c r="G160" i="16"/>
  <c r="G159" i="16"/>
  <c r="G158" i="16"/>
  <c r="G156" i="16"/>
  <c r="G155" i="16"/>
  <c r="D155" i="16"/>
  <c r="K10" i="21" s="1"/>
  <c r="G154" i="16"/>
  <c r="G153" i="16"/>
  <c r="G152" i="16"/>
  <c r="D152" i="16"/>
  <c r="K7" i="21" s="1"/>
  <c r="G151" i="16"/>
  <c r="G150" i="16"/>
  <c r="D150" i="16"/>
  <c r="K5" i="21" s="1"/>
  <c r="G149" i="16"/>
  <c r="F142" i="16"/>
  <c r="F140" i="16"/>
  <c r="D138" i="16"/>
  <c r="D137" i="16"/>
  <c r="F136" i="16"/>
  <c r="D135" i="16"/>
  <c r="D133" i="16"/>
  <c r="F126" i="16"/>
  <c r="F124" i="16"/>
  <c r="D122" i="16"/>
  <c r="D121" i="16"/>
  <c r="F120" i="16"/>
  <c r="D119" i="16"/>
  <c r="D117" i="16"/>
  <c r="F110" i="16"/>
  <c r="F108" i="16"/>
  <c r="D106" i="16"/>
  <c r="D105" i="16"/>
  <c r="F104" i="16"/>
  <c r="D103" i="16"/>
  <c r="D101" i="16"/>
  <c r="F94" i="16"/>
  <c r="F92" i="16"/>
  <c r="D90" i="16"/>
  <c r="D89" i="16"/>
  <c r="F88" i="16"/>
  <c r="D87" i="16"/>
  <c r="D85" i="16"/>
  <c r="F78" i="16"/>
  <c r="F76" i="16"/>
  <c r="D74" i="16"/>
  <c r="D73" i="16"/>
  <c r="F72" i="16"/>
  <c r="D71" i="16"/>
  <c r="D69" i="16"/>
  <c r="F62" i="16"/>
  <c r="F60" i="16"/>
  <c r="D58" i="16"/>
  <c r="D57" i="16"/>
  <c r="F56" i="16"/>
  <c r="D55" i="16"/>
  <c r="D53" i="16"/>
  <c r="D149" i="16" s="1"/>
  <c r="F46" i="16"/>
  <c r="F44" i="16"/>
  <c r="F156" i="16" s="1"/>
  <c r="D42" i="16"/>
  <c r="D41" i="16"/>
  <c r="D153" i="16" s="1"/>
  <c r="F40" i="16"/>
  <c r="D39" i="16"/>
  <c r="D37" i="16"/>
  <c r="F30" i="16"/>
  <c r="F28" i="16"/>
  <c r="D26" i="16"/>
  <c r="D154" i="16" s="1"/>
  <c r="D25" i="16"/>
  <c r="F24" i="16"/>
  <c r="C24" i="16"/>
  <c r="C40" i="16" s="1"/>
  <c r="C56" i="16" s="1"/>
  <c r="C72" i="16" s="1"/>
  <c r="C88" i="16" s="1"/>
  <c r="C104" i="16" s="1"/>
  <c r="C120" i="16" s="1"/>
  <c r="C136" i="16" s="1"/>
  <c r="C152" i="16" s="1"/>
  <c r="D23" i="16"/>
  <c r="D21" i="16"/>
  <c r="F14" i="16"/>
  <c r="F158" i="16" s="1"/>
  <c r="F12" i="16"/>
  <c r="C11" i="16"/>
  <c r="F11" i="16" s="1"/>
  <c r="C10" i="16"/>
  <c r="F10" i="16" s="1"/>
  <c r="C9" i="16"/>
  <c r="C25" i="16" s="1"/>
  <c r="F25" i="16" s="1"/>
  <c r="F8" i="16"/>
  <c r="D7" i="16"/>
  <c r="D151" i="16" s="1"/>
  <c r="C7" i="16"/>
  <c r="C6" i="16"/>
  <c r="C22" i="16" s="1"/>
  <c r="C5" i="16"/>
  <c r="F5" i="16" s="1"/>
  <c r="L115" i="17"/>
  <c r="L114" i="17"/>
  <c r="L113" i="17"/>
  <c r="L111" i="17"/>
  <c r="L102" i="17"/>
  <c r="L101" i="17"/>
  <c r="L100" i="17"/>
  <c r="L99" i="17"/>
  <c r="L98" i="17"/>
  <c r="L97" i="17"/>
  <c r="L95" i="17"/>
  <c r="L94" i="17"/>
  <c r="L93" i="17"/>
  <c r="L92" i="17"/>
  <c r="L85" i="17"/>
  <c r="L84" i="17"/>
  <c r="L83" i="17"/>
  <c r="L81" i="17"/>
  <c r="L80" i="17"/>
  <c r="L79" i="17"/>
  <c r="L78" i="17"/>
  <c r="L77" i="17"/>
  <c r="J77" i="17"/>
  <c r="L76" i="17"/>
  <c r="J76" i="17"/>
  <c r="L75" i="17"/>
  <c r="J75" i="17"/>
  <c r="L74" i="17"/>
  <c r="L62" i="17"/>
  <c r="L54" i="17"/>
  <c r="L53" i="17"/>
  <c r="L51" i="17"/>
  <c r="L50" i="17"/>
  <c r="L49" i="17"/>
  <c r="L40" i="17"/>
  <c r="L30" i="17"/>
  <c r="L29" i="17"/>
  <c r="L28" i="17"/>
  <c r="L26" i="17"/>
  <c r="L25" i="17"/>
  <c r="G24" i="17"/>
  <c r="L16" i="17"/>
  <c r="L14" i="17"/>
  <c r="L5" i="17"/>
  <c r="H4" i="17"/>
  <c r="K6" i="21" l="1"/>
  <c r="I6" i="15"/>
  <c r="L13" i="21"/>
  <c r="M13" i="21" s="1"/>
  <c r="J13" i="15"/>
  <c r="K13" i="15" s="1"/>
  <c r="K9" i="21"/>
  <c r="I9" i="15"/>
  <c r="K8" i="21"/>
  <c r="I8" i="15"/>
  <c r="J11" i="15"/>
  <c r="L11" i="21"/>
  <c r="H156" i="16"/>
  <c r="K4" i="21"/>
  <c r="I4" i="15"/>
  <c r="H14" i="15"/>
  <c r="H158" i="16"/>
  <c r="I5" i="15"/>
  <c r="I7" i="15"/>
  <c r="I10" i="15"/>
  <c r="F15" i="15"/>
  <c r="H12" i="21"/>
  <c r="H15" i="21" s="1"/>
  <c r="H16" i="21" s="1"/>
  <c r="F7" i="16"/>
  <c r="G12" i="15"/>
  <c r="G15" i="15" s="1"/>
  <c r="G16" i="15" s="1"/>
  <c r="F12" i="21"/>
  <c r="G138" i="11"/>
  <c r="I7" i="21"/>
  <c r="J7" i="21" s="1"/>
  <c r="F9" i="16"/>
  <c r="F152" i="16"/>
  <c r="H152" i="16" s="1"/>
  <c r="C23" i="16"/>
  <c r="C39" i="16" s="1"/>
  <c r="C55" i="16" s="1"/>
  <c r="G157" i="16"/>
  <c r="G161" i="16" s="1"/>
  <c r="C26" i="16"/>
  <c r="C42" i="16" s="1"/>
  <c r="F42" i="16" s="1"/>
  <c r="F22" i="16"/>
  <c r="C38" i="16"/>
  <c r="F6" i="16"/>
  <c r="H8" i="16" s="1"/>
  <c r="C21" i="16"/>
  <c r="C27" i="16"/>
  <c r="C41" i="16"/>
  <c r="F14" i="21" l="1"/>
  <c r="H15" i="15"/>
  <c r="H12" i="15"/>
  <c r="F16" i="15"/>
  <c r="I4" i="21"/>
  <c r="F39" i="16"/>
  <c r="L7" i="21"/>
  <c r="J7" i="15"/>
  <c r="F23" i="16"/>
  <c r="G190" i="11"/>
  <c r="G7" i="11" s="1"/>
  <c r="F26" i="16"/>
  <c r="C58" i="16"/>
  <c r="F58" i="16" s="1"/>
  <c r="H168" i="11"/>
  <c r="C71" i="16"/>
  <c r="F55" i="16"/>
  <c r="F38" i="16"/>
  <c r="C54" i="16"/>
  <c r="F41" i="16"/>
  <c r="C57" i="16"/>
  <c r="F27" i="16"/>
  <c r="C43" i="16"/>
  <c r="F21" i="16"/>
  <c r="C37" i="16"/>
  <c r="F13" i="16"/>
  <c r="C74" i="16"/>
  <c r="F16" i="21" l="1"/>
  <c r="F20" i="21" s="1"/>
  <c r="F20" i="15"/>
  <c r="H16" i="15"/>
  <c r="F15" i="21"/>
  <c r="J4" i="21"/>
  <c r="G191" i="11"/>
  <c r="F54" i="16"/>
  <c r="C70" i="16"/>
  <c r="F57" i="16"/>
  <c r="C73" i="16"/>
  <c r="C90" i="16"/>
  <c r="F74" i="16"/>
  <c r="F15" i="16"/>
  <c r="F37" i="16"/>
  <c r="C53" i="16"/>
  <c r="F29" i="16"/>
  <c r="F43" i="16"/>
  <c r="C59" i="16"/>
  <c r="C87" i="16"/>
  <c r="F71" i="16"/>
  <c r="I8" i="21" l="1"/>
  <c r="I13" i="21"/>
  <c r="J13" i="21" s="1"/>
  <c r="F31" i="16"/>
  <c r="F32" i="16" s="1"/>
  <c r="F53" i="16"/>
  <c r="C69" i="16"/>
  <c r="C106" i="16"/>
  <c r="F90" i="16"/>
  <c r="F73" i="16"/>
  <c r="C89" i="16"/>
  <c r="F45" i="16"/>
  <c r="F70" i="16"/>
  <c r="C86" i="16"/>
  <c r="F87" i="16"/>
  <c r="C103" i="16"/>
  <c r="F59" i="16"/>
  <c r="C75" i="16"/>
  <c r="F16" i="16"/>
  <c r="F17" i="16" s="1"/>
  <c r="J8" i="21" l="1"/>
  <c r="G193" i="11"/>
  <c r="I12" i="21"/>
  <c r="J12" i="21" s="1"/>
  <c r="F89" i="16"/>
  <c r="C105" i="16"/>
  <c r="F103" i="16"/>
  <c r="C119" i="16"/>
  <c r="F86" i="16"/>
  <c r="C102" i="16"/>
  <c r="F69" i="16"/>
  <c r="C85" i="16"/>
  <c r="F61" i="16"/>
  <c r="C122" i="16"/>
  <c r="F106" i="16"/>
  <c r="F75" i="16"/>
  <c r="C91" i="16"/>
  <c r="F47" i="16"/>
  <c r="F33" i="16"/>
  <c r="I15" i="21" l="1"/>
  <c r="C135" i="16"/>
  <c r="F119" i="16"/>
  <c r="F63" i="16"/>
  <c r="F64" i="16" s="1"/>
  <c r="F85" i="16"/>
  <c r="C101" i="16"/>
  <c r="F102" i="16"/>
  <c r="C118" i="16"/>
  <c r="F122" i="16"/>
  <c r="C138" i="16"/>
  <c r="F48" i="16"/>
  <c r="F105" i="16"/>
  <c r="C121" i="16"/>
  <c r="F91" i="16"/>
  <c r="C107" i="16"/>
  <c r="F77" i="16"/>
  <c r="J15" i="21" l="1"/>
  <c r="I16" i="21"/>
  <c r="J16" i="21" s="1"/>
  <c r="F49" i="16"/>
  <c r="F79" i="16"/>
  <c r="F80" i="16" s="1"/>
  <c r="C154" i="16"/>
  <c r="F138" i="16"/>
  <c r="F154" i="16" s="1"/>
  <c r="F118" i="16"/>
  <c r="C134" i="16"/>
  <c r="F121" i="16"/>
  <c r="C137" i="16"/>
  <c r="F93" i="16"/>
  <c r="F65" i="16"/>
  <c r="F107" i="16"/>
  <c r="C123" i="16"/>
  <c r="C151" i="16"/>
  <c r="F151" i="16" s="1"/>
  <c r="F135" i="16"/>
  <c r="F101" i="16"/>
  <c r="C117" i="16"/>
  <c r="H154" i="16" l="1"/>
  <c r="L9" i="21"/>
  <c r="J9" i="15"/>
  <c r="F117" i="16"/>
  <c r="C133" i="16"/>
  <c r="F109" i="16"/>
  <c r="F95" i="16"/>
  <c r="F96" i="16" s="1"/>
  <c r="C153" i="16"/>
  <c r="F137" i="16"/>
  <c r="F153" i="16"/>
  <c r="F123" i="16"/>
  <c r="C139" i="16"/>
  <c r="F81" i="16"/>
  <c r="H151" i="16"/>
  <c r="L6" i="21"/>
  <c r="J6" i="15"/>
  <c r="F134" i="16"/>
  <c r="C150" i="16"/>
  <c r="F150" i="16" s="1"/>
  <c r="F111" i="16" l="1"/>
  <c r="F112" i="16" s="1"/>
  <c r="F133" i="16"/>
  <c r="C149" i="16"/>
  <c r="F125" i="16"/>
  <c r="F139" i="16"/>
  <c r="F155" i="16" s="1"/>
  <c r="C155" i="16"/>
  <c r="L8" i="21"/>
  <c r="J8" i="15"/>
  <c r="H153" i="16"/>
  <c r="L5" i="21"/>
  <c r="J5" i="15"/>
  <c r="H150" i="16"/>
  <c r="F97" i="16"/>
  <c r="J10" i="15" l="1"/>
  <c r="H155" i="16"/>
  <c r="L10" i="21"/>
  <c r="F127" i="16"/>
  <c r="F128" i="16" s="1"/>
  <c r="F141" i="16"/>
  <c r="F113" i="16"/>
  <c r="F149" i="16"/>
  <c r="F129" i="16" l="1"/>
  <c r="H149" i="16"/>
  <c r="L4" i="21"/>
  <c r="J4" i="15"/>
  <c r="F157" i="16"/>
  <c r="F143" i="16"/>
  <c r="F159" i="16" s="1"/>
  <c r="F144" i="16"/>
  <c r="F160" i="16" s="1"/>
  <c r="J15" i="15" l="1"/>
  <c r="K15" i="15" s="1"/>
  <c r="H160" i="16"/>
  <c r="L15" i="21"/>
  <c r="M15" i="21" s="1"/>
  <c r="F161" i="16"/>
  <c r="L12" i="21"/>
  <c r="M12" i="21" s="1"/>
  <c r="J12" i="15"/>
  <c r="K12" i="15" s="1"/>
  <c r="H157" i="16"/>
  <c r="J14" i="15"/>
  <c r="K14" i="15" s="1"/>
  <c r="L14" i="21"/>
  <c r="M14" i="21" s="1"/>
  <c r="H159" i="16"/>
  <c r="F145" i="16"/>
  <c r="H161" i="16" l="1"/>
  <c r="J16" i="15"/>
  <c r="K16" i="15" s="1"/>
  <c r="L16" i="21"/>
  <c r="M16" i="21" s="1"/>
  <c r="D10" i="13" l="1"/>
</calcChain>
</file>

<file path=xl/comments1.xml><?xml version="1.0" encoding="utf-8"?>
<comments xmlns="http://schemas.openxmlformats.org/spreadsheetml/2006/main">
  <authors>
    <author>Lucky Ncobela</author>
  </authors>
  <commentList>
    <comment ref="G143" authorId="0" shapeId="0">
      <text>
        <r>
          <rPr>
            <b/>
            <sz val="9"/>
            <color indexed="81"/>
            <rFont val="Tahoma"/>
            <family val="2"/>
          </rPr>
          <t>Lucky Ncobela:</t>
        </r>
        <r>
          <rPr>
            <sz val="9"/>
            <color indexed="81"/>
            <rFont val="Tahoma"/>
            <family val="2"/>
          </rPr>
          <t xml:space="preserve">
Lucky Ncobela:
0% rated but for consistence in the calculation
</t>
        </r>
      </text>
    </comment>
  </commentList>
</comments>
</file>

<file path=xl/sharedStrings.xml><?xml version="1.0" encoding="utf-8"?>
<sst xmlns="http://schemas.openxmlformats.org/spreadsheetml/2006/main" count="1058" uniqueCount="328">
  <si>
    <t>Description</t>
  </si>
  <si>
    <t>Item</t>
  </si>
  <si>
    <t>Cost Estimate, R</t>
  </si>
  <si>
    <t>R/unit</t>
  </si>
  <si>
    <t>Quantity</t>
  </si>
  <si>
    <t>Sub-Total 1 - Gauteng</t>
  </si>
  <si>
    <t>PROVINCE: GAUTENG</t>
  </si>
  <si>
    <t>Sanitizers that kill 99.9% of germs (for carrying to site and dispensers at all strategic locations</t>
  </si>
  <si>
    <t>Hand soaps</t>
  </si>
  <si>
    <t>Duration (in days)</t>
  </si>
  <si>
    <t>COST ESTIMATE FOR  THE IMPLEMENTATION OF COVID 19 NATIONAL PROJECT - PROVISION OF WATER SUPPLY AND HYGIENE</t>
  </si>
  <si>
    <t>PROVINCE: FREE STATE</t>
  </si>
  <si>
    <t>PROVINCE: MPUMALANGA</t>
  </si>
  <si>
    <t>PROVINCE: LIMPOPO</t>
  </si>
  <si>
    <t>PROVINCE: EASTERN CAPE</t>
  </si>
  <si>
    <t>PROVINCE: WESTERN CAPE</t>
  </si>
  <si>
    <t>PROVINCE: NORTHERN CAPE</t>
  </si>
  <si>
    <t>PROVINCE: NORTH WEST</t>
  </si>
  <si>
    <t>PROVINCE: KWAZULU NATAL</t>
  </si>
  <si>
    <t>PROVINCE: ALL - SUMMARY</t>
  </si>
  <si>
    <t>Sub-Total 2 - Free State</t>
  </si>
  <si>
    <t>Sub-Total 5 - Eastern Cape</t>
  </si>
  <si>
    <t>Sub-Total 6 - Western Cape</t>
  </si>
  <si>
    <t>Sub-Total 8 - North West</t>
  </si>
  <si>
    <t>Sub-Total 9 - KwaZulu Natal</t>
  </si>
  <si>
    <t>VAT @15%</t>
  </si>
  <si>
    <t>Mpumalanga</t>
  </si>
  <si>
    <t>Western Cape</t>
  </si>
  <si>
    <t>Northern Cape</t>
  </si>
  <si>
    <t>IA</t>
  </si>
  <si>
    <t>Date</t>
  </si>
  <si>
    <t>Supplier</t>
  </si>
  <si>
    <t>Province</t>
  </si>
  <si>
    <t>Nel Tank</t>
  </si>
  <si>
    <t>PROCESS FLOW COVAID 19 PROJECT</t>
  </si>
  <si>
    <t>FINANCE REQUIREMENTS TO SPEED UP PAYMENTS</t>
  </si>
  <si>
    <t xml:space="preserve">Time </t>
  </si>
  <si>
    <t>Activities</t>
  </si>
  <si>
    <t>Responsible Person</t>
  </si>
  <si>
    <t>00h00 - 09h00</t>
  </si>
  <si>
    <t>Finance received update SCM data file</t>
  </si>
  <si>
    <t>Treasury</t>
  </si>
  <si>
    <t>09h00</t>
  </si>
  <si>
    <t>Submission of Invoices for same day payment</t>
  </si>
  <si>
    <t>Program Manager</t>
  </si>
  <si>
    <t>00h00 - 10h00</t>
  </si>
  <si>
    <t>Update the Bank Data Base for NCC CVD19</t>
  </si>
  <si>
    <t>10h00 - 11h00</t>
  </si>
  <si>
    <t xml:space="preserve">Bank File data base to be approved </t>
  </si>
  <si>
    <t>11h00 - 13h00</t>
  </si>
  <si>
    <t>Run the payment process</t>
  </si>
  <si>
    <t>Account Payable</t>
  </si>
  <si>
    <t>13h00 - 14h00</t>
  </si>
  <si>
    <t>1st Payment Releaser</t>
  </si>
  <si>
    <t>14h00 - 14h30</t>
  </si>
  <si>
    <t>2nd Payment Releaser</t>
  </si>
  <si>
    <t>15h30 -16h00</t>
  </si>
  <si>
    <t>Payment report submitted to NCC CVD 19 via CFO</t>
  </si>
  <si>
    <t>Finance</t>
  </si>
  <si>
    <t>Ongoing</t>
  </si>
  <si>
    <t>Receipting and Submission of Invoices + supporting doc</t>
  </si>
  <si>
    <t>Notes on Receipting</t>
  </si>
  <si>
    <t>Email the signed invoice  to FSS: Fservicedesk@randwater.co.za and cc Ms. Ntokozo Mazibuko.</t>
  </si>
  <si>
    <t>Valid Invoice must be :</t>
  </si>
  <si>
    <t xml:space="preserve">1. Sign Invoice by Authorised PM with Board Number. </t>
  </si>
  <si>
    <t>2. Match the GR (Receipting)</t>
  </si>
  <si>
    <t>3. Have a valid RW VAT number and Supplier VAT number.</t>
  </si>
  <si>
    <t>4. Need the name of the Receptor's for any clarity that might be needed</t>
  </si>
  <si>
    <t>5. The Project Manager is expected to keep a hard copy file on the project that would include all project documents, such as, appointment letters, agreements, procurement process documents, etc.</t>
  </si>
  <si>
    <t xml:space="preserve">Nedbank Asset </t>
  </si>
  <si>
    <t>SBSA - NCC Covid-19</t>
  </si>
  <si>
    <t>RMB - NCC Covid-19</t>
  </si>
  <si>
    <t xml:space="preserve">Suppliers Paid </t>
  </si>
  <si>
    <t>Current Account</t>
  </si>
  <si>
    <t>Call Deposit</t>
  </si>
  <si>
    <t>Liquidity</t>
  </si>
  <si>
    <t>TOTAL INVESTMENTS Incl of VAT FOR NCC COVID-19</t>
  </si>
  <si>
    <t xml:space="preserve">Province </t>
  </si>
  <si>
    <t xml:space="preserve">Nel Tanks cc </t>
  </si>
  <si>
    <t xml:space="preserve">Western Cape </t>
  </si>
  <si>
    <t xml:space="preserve">Jojo Tanks </t>
  </si>
  <si>
    <t xml:space="preserve">Gauteng </t>
  </si>
  <si>
    <t>Melo enterpirises</t>
  </si>
  <si>
    <t>Loxiontym Investment</t>
  </si>
  <si>
    <t>KZN</t>
  </si>
  <si>
    <t>Pabi n Sbu Holdings</t>
  </si>
  <si>
    <t xml:space="preserve">Eastern Cape </t>
  </si>
  <si>
    <t>Order No.</t>
  </si>
  <si>
    <t>Rand Water</t>
  </si>
  <si>
    <t>Current Committed Purchase Orders, R</t>
  </si>
  <si>
    <t>Variance (Budget-POs)</t>
  </si>
  <si>
    <t>Water Tanks for installation by  WSA's through Assignments</t>
  </si>
  <si>
    <t>Provision for installation of tanks by the WSA's through Assignment Agreements</t>
  </si>
  <si>
    <t>Water Tankers (Trucks) will be hired in order to fill the water tanks (5 000l to 18 000l), including establishment</t>
  </si>
  <si>
    <t>SUBTOTAL - ALL 9 PROVINCES</t>
  </si>
  <si>
    <t>Contingency (10%)</t>
  </si>
  <si>
    <t>TOTAL - ALL 9 PROVINCES</t>
  </si>
  <si>
    <t>COST ESTIMATE FOR  THE IMPLEMENTATION OF COVID 19 NATIONAL PROJECT - PROVISION OF WATER SUPPLY, HYGIENE AND SAFETY</t>
  </si>
  <si>
    <t>SCENARIO FINAL: PROPORTIONATE ON VARIOUS INTERVENTIONS BASED ON AVAILABLE FUNDS</t>
  </si>
  <si>
    <t>R/unit, average</t>
  </si>
  <si>
    <t>Tanks Supplied and Installed by Service Provider</t>
  </si>
  <si>
    <t>Water Tanks bought for Water Board</t>
  </si>
  <si>
    <t>Water Tanks installed Water Board</t>
  </si>
  <si>
    <t>Water tankers will be hired in order to fill the water tanks (5 000l to 18 000l), including establishment</t>
  </si>
  <si>
    <t>PPE</t>
  </si>
  <si>
    <t>Disbursements (travelling, accommodation,charge outs)</t>
  </si>
  <si>
    <t>Implementation Agent fee including project management fees</t>
  </si>
  <si>
    <t>Disbursements (travelling, accommodation, charge outs)</t>
  </si>
  <si>
    <t>Disbursements (travelling, accommodation)</t>
  </si>
  <si>
    <t>Hand Soaps</t>
  </si>
  <si>
    <t>Delivered</t>
  </si>
  <si>
    <t>NCC COVID 19 PROJECT PROGRESS REPORT NO.18 - 23 APRIL 2020</t>
  </si>
  <si>
    <t xml:space="preserve">No </t>
  </si>
  <si>
    <t>Tanks/Tankers</t>
  </si>
  <si>
    <t>Committed</t>
  </si>
  <si>
    <t>Order No</t>
  </si>
  <si>
    <t>Supplier Name</t>
  </si>
  <si>
    <t>Ordered</t>
  </si>
  <si>
    <t xml:space="preserve">In Used - Temporary installation </t>
  </si>
  <si>
    <t>Being constructed</t>
  </si>
  <si>
    <t>Installed permanetly on the stands and Trucks in operation</t>
  </si>
  <si>
    <t>Still to be delivered</t>
  </si>
  <si>
    <t>Expected Delivery date of the rest</t>
  </si>
  <si>
    <t xml:space="preserve">Comments </t>
  </si>
  <si>
    <t xml:space="preserve">Tanks </t>
  </si>
  <si>
    <t xml:space="preserve">Complete </t>
  </si>
  <si>
    <t>Last 34 delivered today</t>
  </si>
  <si>
    <t>Tankers</t>
  </si>
  <si>
    <t>MidMar Plant Hire</t>
  </si>
  <si>
    <t>N/A</t>
  </si>
  <si>
    <t>Tanker Purchase order funds will be depleted by this week. 3 x Trucks already off-hired</t>
  </si>
  <si>
    <t xml:space="preserve">Challenges </t>
  </si>
  <si>
    <t>Tanker order will be depleted by the end of this week.</t>
  </si>
  <si>
    <t>Effective utlisation fo Tankers as requested by the Province as some Tankers has been standing for more than a week - not being utilised!</t>
  </si>
  <si>
    <t>City of Cape Town Assignment Agreements still not signed by Rand Water &amp; awaiting City of Cape Town's implementation Plan: Programme to do the installation of the 214 x Tanks!</t>
  </si>
  <si>
    <t>In some areas where Tanks where delivered the Municipality indicated that is will only be used on a contigency basis, as their informal settlement areas have either access to Tap stands and or existing Tanks installed (Hermanus; Lambert's Bay; Plettenberg Bay)</t>
  </si>
  <si>
    <t>All delivered</t>
  </si>
  <si>
    <t xml:space="preserve">The payment for 129 has been processed for this work. </t>
  </si>
  <si>
    <t xml:space="preserve">The Agreement with Amathole water to be finalized </t>
  </si>
  <si>
    <t xml:space="preserve">30 Tankers committed . Still at SCM </t>
  </si>
  <si>
    <t>No approved Assignment Agreements in-place i.e. Ceding the Tank Installation Works</t>
  </si>
  <si>
    <t xml:space="preserve">Information from DWS that 58 tanks have been installed is yet to be verified by the M&amp; Es . </t>
  </si>
  <si>
    <t xml:space="preserve">1 tank has been stolen. Case no is 56/4/2020. Matter with the Police </t>
  </si>
  <si>
    <t>Griekwaland Wes Korporate</t>
  </si>
  <si>
    <t>TBC</t>
  </si>
  <si>
    <t>Mulalo</t>
  </si>
  <si>
    <t>All Delivered</t>
  </si>
  <si>
    <t>Operating from 6 April</t>
  </si>
  <si>
    <t>Luhlavana</t>
  </si>
  <si>
    <t>Operating from 5 April</t>
  </si>
  <si>
    <t>Keeme Trading</t>
  </si>
  <si>
    <t>Operating from 3 April</t>
  </si>
  <si>
    <t xml:space="preserve">Assigned Supplier for NC didn’t quote for the tanks installation </t>
  </si>
  <si>
    <t>GWK are reluctant to deliver before payment and DWS rep has requested we cancel and reassign the rest of the order</t>
  </si>
  <si>
    <t xml:space="preserve">North West </t>
  </si>
  <si>
    <t>Thoka Geosciences</t>
  </si>
  <si>
    <t>Over delivery due to initial tanks delivered to Bojanala, which exceeded its allocation due to cancellation of service provider. No more deliveries to be done.</t>
  </si>
  <si>
    <t>Daneesa</t>
  </si>
  <si>
    <t>Aqua Transport and Plant Hire</t>
  </si>
  <si>
    <t>50 Tankers have been delivered</t>
  </si>
  <si>
    <t>Storky Consulting</t>
  </si>
  <si>
    <t>Belgium</t>
  </si>
  <si>
    <t>SED issues for construction of tank stands</t>
  </si>
  <si>
    <t>Awaiting approved Assignements Agreements</t>
  </si>
  <si>
    <t xml:space="preserve">Free State </t>
  </si>
  <si>
    <t>120 tanks have been delivered to various areas in Free State, composed of 118 x5.25kl and 2 x10kl. Invoices received and are being paid. Confirmation of delivery of tanks outstanding from RH. Assignment agreement with water boards required for construction of tank stands.</t>
  </si>
  <si>
    <t>IMPOQO Trading CC</t>
  </si>
  <si>
    <t>180 tanks delivered composed of 80 x 10kl, 50 x5kl and 50x2.5kl. All tanks are temporarily installed and operational. Steel material for fabricating tank stands can only be sourced after lockdown. Estimated completion of tank stands 14 days after lockdown (20 May 2020).  Purchase Order to be adjusted for the additional 30x10kl tanks delivered. Approval of payment received from RH. Invoice submitted for payment.</t>
  </si>
  <si>
    <t>TLG Commercial Sourcing</t>
  </si>
  <si>
    <t>100 x 5kl tanks have been delivered to various areas in Free State.  Construction of tank stands outstanding. Contractor engaging municipalities to provide local people who can assist with construction of tank stands. It is anticipated that construction and installation of tanks will be completed by the 30th April 2020, subject to availability of material.</t>
  </si>
  <si>
    <t>Xmoor Transport</t>
  </si>
  <si>
    <t xml:space="preserve">All 40 x 10kl tankers have been delivered to various areas in FS. The purchase order was for 40 tankers and Xmoor supplied additional 21 tankers to other areas as requested by RW. Purchase Order to be adjusted.  Cleanliness Certificates submitted to RW. </t>
  </si>
  <si>
    <t>SEDTRADE</t>
  </si>
  <si>
    <t>All 8 x water tankers have been deployed to various areas of FS. Cleanliness Certificates submitted to RW</t>
  </si>
  <si>
    <t xml:space="preserve"> Storky Consulting</t>
  </si>
  <si>
    <t>cancelled</t>
  </si>
  <si>
    <t>Supplier failed to deploy tankers and order was terminated</t>
  </si>
  <si>
    <t>Due to the urgent need for water ,FS is not constructing  tanks stands but doing temporary installation to get the tanks operational</t>
  </si>
  <si>
    <t xml:space="preserve">Quantities delivered not aligned with the Order </t>
  </si>
  <si>
    <t>Delays with construction of tank stands due to unavailability of material</t>
  </si>
  <si>
    <t>Assignment agreement with Water Boards required</t>
  </si>
  <si>
    <t xml:space="preserve">Limpopo </t>
  </si>
  <si>
    <t xml:space="preserve">JoJo Tanks </t>
  </si>
  <si>
    <t xml:space="preserve">Quantities of ordered tanks increased from 625 to 635. Construction of stands in progress. 190 tank stands constructed to date and 201 tanks installed. </t>
  </si>
  <si>
    <t xml:space="preserve">All tankers were in operation                                                                                        </t>
  </si>
  <si>
    <t>Aqua Transport and Plant</t>
  </si>
  <si>
    <t xml:space="preserve">Assignment agreement not signed by PH yet. </t>
  </si>
  <si>
    <t>Quantities for Jojo tanks increased to 635</t>
  </si>
  <si>
    <t>Variation orders to be raised for stands construction</t>
  </si>
  <si>
    <t>Construction of stands in progress</t>
  </si>
  <si>
    <t xml:space="preserve">Zenzo Projects  </t>
  </si>
  <si>
    <t xml:space="preserve">Construction of stands in progress. 40 stands costructed to date. There is a conflict with municipality on the remaining stands </t>
  </si>
  <si>
    <t xml:space="preserve">Osher Fuels </t>
  </si>
  <si>
    <t>Remaining deliveries awaiting PH to confirm areas.Total delivered revised due to 100 tanks diverted to another province. Construction of Stands in progress. Payment claim submitted and under review.</t>
  </si>
  <si>
    <t>Melo Enterprise</t>
  </si>
  <si>
    <t>All tanks delivered and on the stands.</t>
  </si>
  <si>
    <t>Thabzo Holdings</t>
  </si>
  <si>
    <t>Awaiting PH for delivery areas</t>
  </si>
  <si>
    <t>SGT Electrical</t>
  </si>
  <si>
    <t>23/04/2020</t>
  </si>
  <si>
    <t>PH has allocated delivery of 100 x 10KL tanks for now.</t>
  </si>
  <si>
    <t>TLG Services</t>
  </si>
  <si>
    <t>Awaiting PH for delivery areas. Order for GP chanegd to 100 due 100 tanks delivered at Bloemfontein.</t>
  </si>
  <si>
    <t>GS Fencing</t>
  </si>
  <si>
    <t>Supplier delivered 5x18KL instead of 10x10KL. 5 tankers  passed water quality test and DWS instructed to use</t>
  </si>
  <si>
    <t>Midmar plant</t>
  </si>
  <si>
    <t>X - Moor</t>
  </si>
  <si>
    <t>DWS still has not signed the ceeding agreement with Rand Water and this is causing a delay on construction of stands</t>
  </si>
  <si>
    <t>Most tankers are failing water quality tests</t>
  </si>
  <si>
    <t>Tanks are not numbered which complicates the verification process. Concern on safety of Rand Water staff doing verifications</t>
  </si>
  <si>
    <t>No or slow response from Regional head to sign off delivery notes</t>
  </si>
  <si>
    <t>166 stands have been completed and 35 tanks have been installed.The contractor has started with the delivery of tanks from storages to their respective sites for installation. The expected completion date is 30 April 2020. An invoice has been submitted for payment on the 23rd of April 2020.</t>
  </si>
  <si>
    <t>Mpangazitha Projects</t>
  </si>
  <si>
    <t>Construction of tank stands in progress, the contractor has completed 72 stands and installed 37 tanks . The expected completion date is 30 April 2020. An invoice has been submitted for payment on the 23rd of April 2020.</t>
  </si>
  <si>
    <t>Mthethwa Power House</t>
  </si>
  <si>
    <t>The Contractor has completed all the work, they are now preparing supporting documents to the invoice. The invoice will be submitted later today the 23rd of April 2020.</t>
  </si>
  <si>
    <t>Osher Fuels</t>
  </si>
  <si>
    <t>PH to allocate delivery areas.</t>
  </si>
  <si>
    <t>Zenzo Projects</t>
  </si>
  <si>
    <t>Trucks started operating on the 28th of March and the last batch started on the 31st of March 2020. The Contractor has submitted an invoice on the 20th of April 2020 , awaiting signed log sheets.</t>
  </si>
  <si>
    <t>SibusisoSobuhle Trading</t>
  </si>
  <si>
    <t>Trucks started operating on the 6th of April 2020. The contractor has been requested to submit an invoice for the work done.</t>
  </si>
  <si>
    <t>Basadi Peniel Trading</t>
  </si>
  <si>
    <t>Trucks started operating on the 7th and the last truck on the 8th of April 2020. The supplier is preparing an invoice for the work done..</t>
  </si>
  <si>
    <t>Dinaledi Tsa Metsi Trading</t>
  </si>
  <si>
    <t>Trucks started operating on the 4th and the last truck on the 7th of April 2020. The supplier has been requested to submit an invoice for the work done. One truck has been removed from operaration due to non-compliance, no replacement yet.</t>
  </si>
  <si>
    <t>Sihlangu Semnikati Trad</t>
  </si>
  <si>
    <t>2 trucks started operating on the 6th of April and the last one on the 7th of April 2020. The contractor has been requested to submit an invoice for the work done.</t>
  </si>
  <si>
    <t>The first batch started on the 8th of April  and the last one on the 13th of April 2020. The supplier will submit an invoice tomorrow the 23rd of april 2020.</t>
  </si>
  <si>
    <t>Tanks storages very far from installation points</t>
  </si>
  <si>
    <t>Delivery of tanks to their respective sites is not easy as areas are scattered, the truck drops one tank and drive a long distance to drop another tank and so forth.</t>
  </si>
  <si>
    <t>Some municipalities are not keen to the approach of temporal instalations, they want to wait for complete installations.</t>
  </si>
  <si>
    <t>Some warehouses ran out of bricks and concrete mixture.</t>
  </si>
  <si>
    <t>Business Forums are demanding that suppliers buy building material from them.</t>
  </si>
  <si>
    <t>In some areas warehouses require permits.</t>
  </si>
  <si>
    <t>KwaZulu Natal</t>
  </si>
  <si>
    <t>Complete</t>
  </si>
  <si>
    <t>1000 tanks of 2500 litres have been delivered to PMB and completed on the 15th April 2020. Checks on the last invoice being done. Two invoices have been verified in full.</t>
  </si>
  <si>
    <t>Kuyenzakala</t>
  </si>
  <si>
    <t>7 tankers have been delivered on the 23rd April 2020. Ugu Municipality requested a tanker dedicated to them and not conducting other work for another supplier. The supplier has to obtain 1 more truck to assist Ugu by the 24th April 2020. Supplier submitted invoice but signed timesheets from municipality pending.</t>
  </si>
  <si>
    <t>10 tankers have been delivered on the 23rd April 2020. Zululand has two trucks operational and Umkhanyakude has four trucks operational. Supplier urged in writing to submit invoice and timesheets.</t>
  </si>
  <si>
    <t>M Charlie Trading Enterprise</t>
  </si>
  <si>
    <t>10 tankers have been delivered on the 23rd April 2020. Supplier urged in writing to submit invoice and timesheets.</t>
  </si>
  <si>
    <t>Tanker suppliers complaining that the R4000 rate per day for 10 000L trucks is too little for the expected number of trips that have to be conducted per day. Kuyenzakala submitted letter to RW.</t>
  </si>
  <si>
    <t>NC</t>
  </si>
  <si>
    <t>LIMP</t>
  </si>
  <si>
    <t>Jojo Tanks</t>
  </si>
  <si>
    <t>FS</t>
  </si>
  <si>
    <t>EC</t>
  </si>
  <si>
    <t>TOTAL Amount Excl. Vat paid</t>
  </si>
  <si>
    <t xml:space="preserve">GWK </t>
  </si>
  <si>
    <t>TSOMAN</t>
  </si>
  <si>
    <t>OPP</t>
  </si>
  <si>
    <t>BULKENG</t>
  </si>
  <si>
    <t>Grand Total Paid</t>
  </si>
  <si>
    <t>Grand Total Paid incl of IA</t>
  </si>
  <si>
    <t xml:space="preserve">Tanker </t>
  </si>
  <si>
    <t>Tanks</t>
  </si>
  <si>
    <t>Tanker</t>
  </si>
  <si>
    <t>Belgium Civil</t>
  </si>
  <si>
    <t>NW</t>
  </si>
  <si>
    <t>Mpangazitha</t>
  </si>
  <si>
    <t>MP</t>
  </si>
  <si>
    <t>Loxiontym</t>
  </si>
  <si>
    <t>Tank/Tankers</t>
  </si>
  <si>
    <t>MOEPATUTSEE PROJECTS                                                                                                   </t>
  </si>
  <si>
    <t>Grand Total Incl. Vat</t>
  </si>
  <si>
    <t>% of budget Utilised</t>
  </si>
  <si>
    <t>Actual Paid                             R</t>
  </si>
  <si>
    <t>Amount R</t>
  </si>
  <si>
    <t>Hygien Product ( Sanitizers, Hand Soap, etc.)</t>
  </si>
  <si>
    <t>THE IMPLEMENTATION OF COVID 19 NATIONAL PROJECT - PROVISION OF WATER SUPPLY AND HYGIENE</t>
  </si>
  <si>
    <t>Cash Available</t>
  </si>
  <si>
    <t>Osher Fuel</t>
  </si>
  <si>
    <t>Zenzo Project</t>
  </si>
  <si>
    <t>TLG Commercial</t>
  </si>
  <si>
    <t>Pabi n Sbu</t>
  </si>
  <si>
    <t>Jojo Tank</t>
  </si>
  <si>
    <t>Impoqo</t>
  </si>
  <si>
    <t>Tebfin</t>
  </si>
  <si>
    <t>SGT</t>
  </si>
  <si>
    <t>Water Tanks bought for Water Board to installed</t>
  </si>
  <si>
    <t>TLG</t>
  </si>
  <si>
    <t>Dinaledi Tsa Metsi Trad</t>
  </si>
  <si>
    <t>Sibusisosobuhle Trading</t>
  </si>
  <si>
    <t>Thari Tsosang</t>
  </si>
  <si>
    <t>Speedy Two Star</t>
  </si>
  <si>
    <t>Triple P Trading</t>
  </si>
  <si>
    <t>PVMT Trading</t>
  </si>
  <si>
    <t>Zingambile</t>
  </si>
  <si>
    <t>Midmar Plant Hire</t>
  </si>
  <si>
    <t>OPP Group</t>
  </si>
  <si>
    <t>Aqua Transport</t>
  </si>
  <si>
    <t>Overberg</t>
  </si>
  <si>
    <t>Basadi Peniel</t>
  </si>
  <si>
    <t>Strorky</t>
  </si>
  <si>
    <t>SGT Eletrical</t>
  </si>
  <si>
    <t>TTM Trading</t>
  </si>
  <si>
    <t>LemazoTrading Project</t>
  </si>
  <si>
    <t>Shadi &amp; Georg</t>
  </si>
  <si>
    <t>Wandeme Resource</t>
  </si>
  <si>
    <t>Entsika Consult</t>
  </si>
  <si>
    <t>Pridin Trading</t>
  </si>
  <si>
    <t>Mapeete Enter</t>
  </si>
  <si>
    <t>Kukama Early Dev</t>
  </si>
  <si>
    <t>Vision Communication</t>
  </si>
  <si>
    <t>Monitor and Evaluation ( Contingency)</t>
  </si>
  <si>
    <t>Lwande Group</t>
  </si>
  <si>
    <t xml:space="preserve">Kerstin Kinsey Holdings </t>
  </si>
  <si>
    <t xml:space="preserve">Zingambili </t>
  </si>
  <si>
    <t>Notefull Gauteng (Courier Services)</t>
  </si>
  <si>
    <t>Blue Sky Vision (Courier Services)</t>
  </si>
  <si>
    <t>Kone Holdings (Courier Services)</t>
  </si>
  <si>
    <t>South West Resources</t>
  </si>
  <si>
    <t>Zamangwane Consultant</t>
  </si>
  <si>
    <t>SUBTOTAL - ALL 9 PROVINCES (INCLUDING DHSWS)</t>
  </si>
  <si>
    <t xml:space="preserve">SedTrade </t>
  </si>
  <si>
    <t>Disbursements</t>
  </si>
  <si>
    <t>Phila Development</t>
  </si>
  <si>
    <t>Rolung Over Trading CC</t>
  </si>
  <si>
    <t xml:space="preserve">Mulalo Business Enterprises </t>
  </si>
  <si>
    <t>Revised Budget, R</t>
  </si>
  <si>
    <t>Vaxogyn</t>
  </si>
  <si>
    <t xml:space="preserve">Qumanco Trading </t>
  </si>
  <si>
    <t>Other Costs - RW</t>
  </si>
  <si>
    <t>MSB Ultra Construction CC</t>
  </si>
  <si>
    <t>ü</t>
  </si>
  <si>
    <t>Storky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</si>
</sst>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00_-;\-* #,##0.00_-;_-* &quot;-&quot;??_-;_-@_-"/>
    <numFmt numFmtId="165" formatCode="_ * #,##0.00_ ;_ * \-#,##0.00_ ;_ * &quot;-&quot;??_ ;_ @_ "/>
    <numFmt numFmtId="166" formatCode="_(* #,##0_);_(* \(#,##0\);_(* &quot;-&quot;??_);_(@_)"/>
    <numFmt numFmtId="167" formatCode="[$-409]d\-mmm\-yy;@"/>
    <numFmt numFmtId="168" formatCode="_-* #,##0_-;\-* #,##0_-;_-* &quot;-&quot;???_-;_-@_-"/>
    <numFmt numFmtId="169" formatCode="_(* #,##0.0000_);_(* \(#,##0.0000\);_(* &quot;-&quot;??_);_(@_)"/>
    <numFmt numFmtId="170" formatCode="[$-1C09]dd\ mmmm\ yyyy;@"/>
  </numFmts>
  <fonts count="37"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name val="Arial"/>
      <family val="2"/>
    </font>
    <font>
      <b/>
      <sz val="11"/>
      <color theme="1"/>
      <name val="Calibri"/>
      <family val="2"/>
      <scheme val="minor"/>
    </font>
    <font>
      <sz val="8"/>
      <color theme="4" tint="-0.499984740745262"/>
      <name val="Calibri"/>
      <family val="2"/>
      <scheme val="minor"/>
    </font>
    <font>
      <u/>
      <sz val="8"/>
      <color theme="4" tint="-0.499984740745262"/>
      <name val="Calibri"/>
      <family val="2"/>
      <scheme val="minor"/>
    </font>
    <font>
      <sz val="8"/>
      <color theme="4" tint="-0.499984740745262"/>
      <name val="Calibri"/>
      <family val="2"/>
    </font>
    <font>
      <b/>
      <sz val="8"/>
      <color rgb="FFFF0000"/>
      <name val="Calibri"/>
      <family val="2"/>
      <scheme val="minor"/>
    </font>
    <font>
      <b/>
      <sz val="8"/>
      <color rgb="FFFF0000"/>
      <name val="Calibri"/>
      <family val="2"/>
    </font>
    <font>
      <b/>
      <sz val="11"/>
      <color theme="1"/>
      <name val="Century Gothic"/>
      <family val="2"/>
    </font>
    <font>
      <sz val="11"/>
      <color theme="1"/>
      <name val="Century Gothic"/>
      <family val="2"/>
    </font>
    <font>
      <sz val="11"/>
      <color rgb="FFFF0000"/>
      <name val="Calibri"/>
      <family val="2"/>
      <scheme val="minor"/>
    </font>
    <font>
      <b/>
      <sz val="11"/>
      <color rgb="FFFF0000"/>
      <name val="Calibri"/>
      <family val="2"/>
      <scheme val="minor"/>
    </font>
    <font>
      <sz val="6"/>
      <color theme="1"/>
      <name val="Arial"/>
      <family val="2"/>
    </font>
    <font>
      <b/>
      <sz val="14"/>
      <color theme="1"/>
      <name val="Arial"/>
      <family val="2"/>
    </font>
    <font>
      <sz val="11"/>
      <color rgb="FFFF0000"/>
      <name val="Arial"/>
      <family val="2"/>
    </font>
    <font>
      <sz val="10"/>
      <color theme="1"/>
      <name val="Wingdings"/>
      <charset val="2"/>
    </font>
    <font>
      <sz val="11"/>
      <name val="Arial"/>
      <family val="2"/>
    </font>
    <font>
      <sz val="11"/>
      <name val="Calibri"/>
      <family val="2"/>
      <scheme val="minor"/>
    </font>
    <font>
      <sz val="11"/>
      <color theme="0"/>
      <name val="Calibri"/>
      <family val="2"/>
      <scheme val="minor"/>
    </font>
    <font>
      <sz val="11"/>
      <color theme="0"/>
      <name val="Arial"/>
      <family val="2"/>
    </font>
    <font>
      <b/>
      <sz val="14"/>
      <name val="Arial"/>
      <family val="2"/>
    </font>
    <font>
      <b/>
      <sz val="14"/>
      <color rgb="FFFFFFFF"/>
      <name val="Century Gothic"/>
      <family val="2"/>
    </font>
    <font>
      <b/>
      <sz val="9"/>
      <color indexed="81"/>
      <name val="Tahoma"/>
      <family val="2"/>
    </font>
    <font>
      <sz val="9"/>
      <color indexed="81"/>
      <name val="Tahoma"/>
      <family val="2"/>
    </font>
    <font>
      <sz val="8"/>
      <color theme="1"/>
      <name val="Arial"/>
      <family val="2"/>
    </font>
    <font>
      <b/>
      <sz val="6"/>
      <color theme="1"/>
      <name val="Arial"/>
      <family val="2"/>
    </font>
    <font>
      <b/>
      <sz val="8"/>
      <color theme="1"/>
      <name val="Arial"/>
      <family val="2"/>
    </font>
    <font>
      <u/>
      <sz val="6"/>
      <color theme="1"/>
      <name val="Arial"/>
      <family val="2"/>
    </font>
    <font>
      <sz val="10"/>
      <name val="Arial"/>
      <family val="2"/>
    </font>
    <font>
      <sz val="6"/>
      <color rgb="FFFF0000"/>
      <name val="Arial"/>
      <family val="2"/>
    </font>
    <font>
      <sz val="6"/>
      <name val="Arial"/>
      <family val="2"/>
    </font>
    <font>
      <sz val="11"/>
      <name val="Century Gothic"/>
      <family val="2"/>
    </font>
    <font>
      <b/>
      <sz val="11"/>
      <name val="Century Gothic"/>
      <family val="2"/>
    </font>
    <font>
      <sz val="11"/>
      <color theme="1"/>
      <name val="Wingdings"/>
      <charset val="2"/>
    </font>
  </fonts>
  <fills count="2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2E74B5"/>
        <bgColor indexed="64"/>
      </patternFill>
    </fill>
    <fill>
      <patternFill patternType="solid">
        <fgColor theme="9"/>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00B0F0"/>
        <bgColor indexed="64"/>
      </patternFill>
    </fill>
  </fills>
  <borders count="43">
    <border>
      <left/>
      <right/>
      <top/>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auto="1"/>
      </right>
      <top style="thin">
        <color auto="1"/>
      </top>
      <bottom style="thin">
        <color auto="1"/>
      </bottom>
      <diagonal/>
    </border>
    <border>
      <left/>
      <right style="thick">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indexed="64"/>
      </left>
      <right style="medium">
        <color indexed="64"/>
      </right>
      <top style="thin">
        <color auto="1"/>
      </top>
      <bottom style="medium">
        <color indexed="64"/>
      </bottom>
      <diagonal/>
    </border>
    <border>
      <left style="medium">
        <color auto="1"/>
      </left>
      <right style="medium">
        <color indexed="64"/>
      </right>
      <top style="thin">
        <color auto="1"/>
      </top>
      <bottom style="thin">
        <color auto="1"/>
      </bottom>
      <diagonal/>
    </border>
    <border>
      <left style="thin">
        <color auto="1"/>
      </left>
      <right/>
      <top style="thin">
        <color auto="1"/>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5" fontId="31" fillId="0" borderId="0" applyFont="0" applyFill="0" applyBorder="0" applyAlignment="0" applyProtection="0"/>
    <xf numFmtId="164" fontId="1" fillId="0" borderId="0" applyFont="0" applyFill="0" applyBorder="0" applyAlignment="0" applyProtection="0"/>
    <xf numFmtId="0" fontId="31" fillId="0" borderId="0"/>
  </cellStyleXfs>
  <cellXfs count="359">
    <xf numFmtId="0" fontId="0" fillId="0" borderId="0" xfId="0"/>
    <xf numFmtId="0" fontId="2" fillId="0" borderId="1" xfId="0" applyFont="1" applyBorder="1" applyAlignment="1">
      <alignment horizontal="justify" vertical="center" wrapText="1"/>
    </xf>
    <xf numFmtId="0" fontId="3" fillId="0" borderId="1" xfId="0" applyFont="1" applyBorder="1"/>
    <xf numFmtId="0" fontId="3" fillId="0" borderId="1" xfId="0" applyFont="1" applyBorder="1" applyAlignment="1">
      <alignment wrapText="1"/>
    </xf>
    <xf numFmtId="0" fontId="2" fillId="2" borderId="1" xfId="0" applyFont="1" applyFill="1" applyBorder="1" applyAlignment="1">
      <alignment horizontal="center" vertical="center" wrapText="1"/>
    </xf>
    <xf numFmtId="0" fontId="4" fillId="0" borderId="0" xfId="0" applyFont="1" applyAlignment="1">
      <alignment horizontal="left" vertical="center"/>
    </xf>
    <xf numFmtId="166" fontId="3" fillId="0" borderId="1" xfId="1" applyNumberFormat="1" applyFont="1" applyBorder="1"/>
    <xf numFmtId="0" fontId="3" fillId="3" borderId="1" xfId="0" applyFont="1" applyFill="1" applyBorder="1"/>
    <xf numFmtId="9" fontId="3" fillId="3" borderId="1" xfId="0" applyNumberFormat="1" applyFont="1" applyFill="1" applyBorder="1"/>
    <xf numFmtId="0" fontId="0" fillId="3" borderId="0" xfId="0" applyFill="1"/>
    <xf numFmtId="10" fontId="3" fillId="3" borderId="1" xfId="0" applyNumberFormat="1" applyFont="1" applyFill="1" applyBorder="1"/>
    <xf numFmtId="0" fontId="3" fillId="0" borderId="1" xfId="0" applyFont="1" applyBorder="1" applyAlignment="1">
      <alignment horizontal="left" vertical="center" wrapText="1"/>
    </xf>
    <xf numFmtId="166" fontId="3" fillId="0" borderId="1" xfId="1" applyNumberFormat="1" applyFont="1" applyBorder="1" applyAlignment="1">
      <alignment wrapText="1"/>
    </xf>
    <xf numFmtId="0" fontId="3" fillId="0" borderId="1" xfId="0" applyFont="1" applyBorder="1" applyAlignment="1">
      <alignment horizontal="justify" vertical="center"/>
    </xf>
    <xf numFmtId="0" fontId="3" fillId="0" borderId="1" xfId="0" applyFont="1" applyBorder="1" applyAlignment="1">
      <alignment horizontal="center" vertical="center" wrapText="1"/>
    </xf>
    <xf numFmtId="166" fontId="2" fillId="0" borderId="1" xfId="1" applyNumberFormat="1" applyFont="1" applyBorder="1" applyAlignment="1">
      <alignment horizontal="right" wrapText="1"/>
    </xf>
    <xf numFmtId="166" fontId="0" fillId="0" borderId="0" xfId="0" applyNumberFormat="1"/>
    <xf numFmtId="166" fontId="2" fillId="2" borderId="1" xfId="0" applyNumberFormat="1" applyFont="1" applyFill="1" applyBorder="1" applyAlignment="1">
      <alignment horizontal="center" vertical="center" wrapText="1"/>
    </xf>
    <xf numFmtId="166" fontId="3" fillId="0" borderId="1" xfId="1" applyNumberFormat="1" applyFont="1" applyBorder="1" applyAlignment="1">
      <alignment horizontal="right" wrapText="1"/>
    </xf>
    <xf numFmtId="166" fontId="3" fillId="3" borderId="1" xfId="1" applyNumberFormat="1" applyFont="1" applyFill="1" applyBorder="1" applyAlignment="1">
      <alignment horizontal="right" wrapText="1"/>
    </xf>
    <xf numFmtId="0" fontId="5" fillId="0" borderId="0" xfId="0" applyFont="1"/>
    <xf numFmtId="43" fontId="3" fillId="3" borderId="1" xfId="1" applyNumberFormat="1" applyFont="1" applyFill="1" applyBorder="1" applyAlignment="1">
      <alignment horizontal="right" wrapText="1"/>
    </xf>
    <xf numFmtId="43" fontId="0" fillId="0" borderId="0" xfId="1" applyFont="1"/>
    <xf numFmtId="0" fontId="6" fillId="0" borderId="6" xfId="0" applyFont="1" applyBorder="1"/>
    <xf numFmtId="0" fontId="6" fillId="0" borderId="7" xfId="0" applyFont="1" applyBorder="1"/>
    <xf numFmtId="0" fontId="6" fillId="0" borderId="8" xfId="0" applyFont="1" applyBorder="1"/>
    <xf numFmtId="0" fontId="6" fillId="0" borderId="0" xfId="0" applyFont="1"/>
    <xf numFmtId="0" fontId="6" fillId="0" borderId="9" xfId="0" applyFont="1" applyBorder="1"/>
    <xf numFmtId="0" fontId="6" fillId="0" borderId="0" xfId="0" applyFont="1" applyBorder="1"/>
    <xf numFmtId="15" fontId="6" fillId="0" borderId="10" xfId="0" applyNumberFormat="1" applyFont="1" applyBorder="1"/>
    <xf numFmtId="0" fontId="6" fillId="0" borderId="10" xfId="0" applyFont="1" applyBorder="1"/>
    <xf numFmtId="0" fontId="6" fillId="2" borderId="1" xfId="0" applyFont="1" applyFill="1" applyBorder="1"/>
    <xf numFmtId="0" fontId="8" fillId="2" borderId="1" xfId="0" applyFont="1" applyFill="1" applyBorder="1" applyAlignment="1">
      <alignment vertical="center" wrapText="1"/>
    </xf>
    <xf numFmtId="0" fontId="6" fillId="0" borderId="1" xfId="0" applyFont="1" applyBorder="1"/>
    <xf numFmtId="0" fontId="8" fillId="0" borderId="1" xfId="0" applyFont="1" applyBorder="1" applyAlignment="1">
      <alignment vertical="center" wrapText="1"/>
    </xf>
    <xf numFmtId="0" fontId="9" fillId="0" borderId="1" xfId="0" applyFont="1" applyBorder="1"/>
    <xf numFmtId="0" fontId="10" fillId="0" borderId="1" xfId="0" applyFont="1" applyBorder="1" applyAlignment="1">
      <alignment vertical="center" wrapText="1"/>
    </xf>
    <xf numFmtId="0" fontId="8" fillId="0" borderId="0" xfId="0" applyFont="1" applyBorder="1" applyAlignment="1">
      <alignment vertical="center" wrapText="1"/>
    </xf>
    <xf numFmtId="0" fontId="7" fillId="0" borderId="0" xfId="0" applyFont="1" applyBorder="1"/>
    <xf numFmtId="0" fontId="8" fillId="0" borderId="0" xfId="0" applyFont="1" applyFill="1" applyBorder="1" applyAlignment="1">
      <alignment vertical="center" wrapText="1"/>
    </xf>
    <xf numFmtId="0" fontId="8" fillId="0" borderId="0" xfId="0" quotePrefix="1" applyFont="1" applyFill="1" applyBorder="1" applyAlignment="1">
      <alignment vertical="center" wrapText="1"/>
    </xf>
    <xf numFmtId="0" fontId="6" fillId="0" borderId="11" xfId="0" applyFont="1" applyBorder="1"/>
    <xf numFmtId="0" fontId="6" fillId="0" borderId="12" xfId="0" applyFont="1" applyBorder="1"/>
    <xf numFmtId="0" fontId="6" fillId="0" borderId="13" xfId="0" applyFont="1" applyBorder="1"/>
    <xf numFmtId="3" fontId="0" fillId="0" borderId="0" xfId="0" applyNumberFormat="1"/>
    <xf numFmtId="43" fontId="0" fillId="0" borderId="0" xfId="0" applyNumberFormat="1"/>
    <xf numFmtId="3" fontId="0" fillId="8" borderId="0" xfId="0" applyNumberFormat="1" applyFill="1"/>
    <xf numFmtId="0" fontId="2" fillId="0" borderId="20" xfId="0" applyFont="1" applyBorder="1" applyAlignment="1">
      <alignment wrapText="1"/>
    </xf>
    <xf numFmtId="166" fontId="0" fillId="0" borderId="0" xfId="1" applyNumberFormat="1" applyFont="1"/>
    <xf numFmtId="9" fontId="3" fillId="0" borderId="1" xfId="2" applyFont="1" applyBorder="1" applyAlignment="1">
      <alignment wrapText="1"/>
    </xf>
    <xf numFmtId="0" fontId="3" fillId="0" borderId="20" xfId="0" applyFont="1" applyBorder="1" applyAlignment="1">
      <alignment horizontal="center" wrapText="1"/>
    </xf>
    <xf numFmtId="166" fontId="3" fillId="9" borderId="1" xfId="1" applyNumberFormat="1" applyFont="1" applyFill="1" applyBorder="1" applyAlignment="1">
      <alignment wrapText="1"/>
    </xf>
    <xf numFmtId="166" fontId="3" fillId="7" borderId="1" xfId="1" applyNumberFormat="1" applyFont="1" applyFill="1" applyBorder="1" applyAlignment="1">
      <alignment wrapText="1"/>
    </xf>
    <xf numFmtId="166" fontId="3" fillId="8" borderId="1" xfId="1" applyNumberFormat="1" applyFont="1" applyFill="1" applyBorder="1" applyAlignment="1">
      <alignment wrapText="1"/>
    </xf>
    <xf numFmtId="4" fontId="0" fillId="0" borderId="0" xfId="0" applyNumberFormat="1"/>
    <xf numFmtId="2" fontId="14" fillId="8" borderId="0" xfId="0" applyNumberFormat="1" applyFont="1" applyFill="1"/>
    <xf numFmtId="43" fontId="0" fillId="3" borderId="0" xfId="0" applyNumberFormat="1" applyFill="1"/>
    <xf numFmtId="166" fontId="2" fillId="0" borderId="1" xfId="1" applyNumberFormat="1" applyFont="1" applyBorder="1"/>
    <xf numFmtId="4" fontId="5" fillId="3" borderId="0" xfId="0" applyNumberFormat="1" applyFont="1" applyFill="1"/>
    <xf numFmtId="166" fontId="0" fillId="7" borderId="0" xfId="0" applyNumberFormat="1" applyFill="1"/>
    <xf numFmtId="9" fontId="3" fillId="0" borderId="1" xfId="2" applyFont="1" applyBorder="1"/>
    <xf numFmtId="0" fontId="3" fillId="3" borderId="1" xfId="0" applyFont="1" applyFill="1" applyBorder="1" applyAlignment="1">
      <alignment vertical="center" wrapText="1"/>
    </xf>
    <xf numFmtId="166" fontId="3" fillId="3" borderId="1" xfId="1" applyNumberFormat="1" applyFont="1" applyFill="1" applyBorder="1" applyAlignment="1">
      <alignment horizontal="right" vertical="center" wrapText="1"/>
    </xf>
    <xf numFmtId="168" fontId="3" fillId="9" borderId="1" xfId="0" applyNumberFormat="1" applyFont="1" applyFill="1" applyBorder="1" applyAlignment="1">
      <alignment horizontal="right" vertical="center" wrapText="1"/>
    </xf>
    <xf numFmtId="0" fontId="3" fillId="3" borderId="1" xfId="0" applyFont="1" applyFill="1" applyBorder="1" applyAlignment="1">
      <alignment horizontal="right" vertical="center" wrapText="1"/>
    </xf>
    <xf numFmtId="166" fontId="3" fillId="3" borderId="1" xfId="0" applyNumberFormat="1" applyFont="1" applyFill="1" applyBorder="1" applyAlignment="1">
      <alignment horizontal="right" vertical="center" wrapText="1"/>
    </xf>
    <xf numFmtId="168" fontId="3" fillId="7" borderId="1" xfId="0" applyNumberFormat="1" applyFont="1" applyFill="1" applyBorder="1" applyAlignment="1">
      <alignment horizontal="right" vertical="center" wrapText="1"/>
    </xf>
    <xf numFmtId="168" fontId="3" fillId="8" borderId="1" xfId="0" applyNumberFormat="1" applyFont="1" applyFill="1" applyBorder="1" applyAlignment="1">
      <alignment horizontal="right" vertical="center" wrapText="1"/>
    </xf>
    <xf numFmtId="0" fontId="3" fillId="3" borderId="1" xfId="0" applyFont="1" applyFill="1" applyBorder="1" applyAlignment="1">
      <alignment horizontal="left" vertical="center" wrapText="1"/>
    </xf>
    <xf numFmtId="9" fontId="3" fillId="3" borderId="1" xfId="2" applyFont="1" applyFill="1" applyBorder="1" applyAlignment="1">
      <alignment horizontal="right" vertical="center" wrapText="1"/>
    </xf>
    <xf numFmtId="0" fontId="3" fillId="0" borderId="1" xfId="0" applyFont="1" applyBorder="1" applyAlignment="1">
      <alignment horizontal="right"/>
    </xf>
    <xf numFmtId="9" fontId="3" fillId="0" borderId="1" xfId="2" applyFont="1" applyBorder="1" applyAlignment="1">
      <alignment horizontal="right"/>
    </xf>
    <xf numFmtId="166" fontId="3" fillId="0" borderId="1" xfId="1" applyNumberFormat="1" applyFont="1" applyBorder="1" applyAlignment="1">
      <alignment horizontal="right"/>
    </xf>
    <xf numFmtId="166" fontId="0" fillId="7" borderId="0" xfId="1" applyNumberFormat="1" applyFont="1" applyFill="1"/>
    <xf numFmtId="166" fontId="3" fillId="12" borderId="1" xfId="1" applyNumberFormat="1" applyFont="1" applyFill="1" applyBorder="1" applyAlignment="1">
      <alignment wrapText="1"/>
    </xf>
    <xf numFmtId="166" fontId="14" fillId="0" borderId="0" xfId="0" applyNumberFormat="1" applyFont="1"/>
    <xf numFmtId="166" fontId="5" fillId="0" borderId="0" xfId="0" applyNumberFormat="1" applyFont="1"/>
    <xf numFmtId="166" fontId="1" fillId="0" borderId="0" xfId="1" applyNumberFormat="1" applyFont="1"/>
    <xf numFmtId="166" fontId="2" fillId="0" borderId="0" xfId="1" applyNumberFormat="1" applyFont="1"/>
    <xf numFmtId="169" fontId="0" fillId="0" borderId="0" xfId="0" applyNumberFormat="1"/>
    <xf numFmtId="43" fontId="0" fillId="8" borderId="0" xfId="1" applyFont="1" applyFill="1"/>
    <xf numFmtId="3" fontId="13" fillId="0" borderId="0" xfId="0" applyNumberFormat="1" applyFont="1"/>
    <xf numFmtId="0" fontId="0" fillId="0" borderId="29" xfId="0" applyBorder="1"/>
    <xf numFmtId="0" fontId="0" fillId="0" borderId="0" xfId="0" applyBorder="1"/>
    <xf numFmtId="0" fontId="0" fillId="0" borderId="30" xfId="0" applyBorder="1"/>
    <xf numFmtId="0" fontId="2" fillId="13" borderId="20" xfId="0" applyFont="1" applyFill="1" applyBorder="1"/>
    <xf numFmtId="0" fontId="2" fillId="13" borderId="1" xfId="0" applyFont="1" applyFill="1" applyBorder="1"/>
    <xf numFmtId="0" fontId="2" fillId="13" borderId="1" xfId="0" applyFont="1" applyFill="1" applyBorder="1" applyAlignment="1">
      <alignment wrapText="1"/>
    </xf>
    <xf numFmtId="0" fontId="2" fillId="13" borderId="21" xfId="0" applyFont="1" applyFill="1" applyBorder="1"/>
    <xf numFmtId="43" fontId="3" fillId="0" borderId="1" xfId="1" applyFont="1" applyBorder="1"/>
    <xf numFmtId="43" fontId="3" fillId="0" borderId="1" xfId="0" applyNumberFormat="1" applyFont="1" applyBorder="1"/>
    <xf numFmtId="43" fontId="3" fillId="0" borderId="1" xfId="0" applyNumberFormat="1" applyFont="1" applyBorder="1" applyAlignment="1">
      <alignment horizontal="left"/>
    </xf>
    <xf numFmtId="0" fontId="17" fillId="0" borderId="1" xfId="0" applyFont="1" applyBorder="1" applyAlignment="1">
      <alignment wrapText="1"/>
    </xf>
    <xf numFmtId="170" fontId="3" fillId="0" borderId="1" xfId="0" applyNumberFormat="1" applyFont="1" applyBorder="1" applyAlignment="1">
      <alignment horizontal="left"/>
    </xf>
    <xf numFmtId="0" fontId="3" fillId="13" borderId="1" xfId="0" applyFont="1" applyFill="1" applyBorder="1"/>
    <xf numFmtId="43" fontId="3" fillId="13" borderId="1" xfId="1" applyFont="1" applyFill="1" applyBorder="1"/>
    <xf numFmtId="0" fontId="3" fillId="13" borderId="21" xfId="0" applyFont="1" applyFill="1" applyBorder="1"/>
    <xf numFmtId="0" fontId="3" fillId="0" borderId="1" xfId="0" applyFont="1" applyBorder="1" applyAlignment="1">
      <alignment horizontal="center" vertical="center"/>
    </xf>
    <xf numFmtId="0" fontId="3" fillId="0" borderId="1" xfId="0" applyFont="1" applyFill="1" applyBorder="1"/>
    <xf numFmtId="43" fontId="3" fillId="0" borderId="1" xfId="1" applyFont="1" applyFill="1" applyBorder="1"/>
    <xf numFmtId="43" fontId="3" fillId="0" borderId="1" xfId="1" applyFont="1" applyBorder="1" applyAlignment="1">
      <alignment horizontal="center"/>
    </xf>
    <xf numFmtId="167" fontId="3" fillId="0" borderId="1" xfId="0" applyNumberFormat="1" applyFont="1" applyBorder="1"/>
    <xf numFmtId="0" fontId="0" fillId="14" borderId="29" xfId="0" applyFill="1" applyBorder="1"/>
    <xf numFmtId="0" fontId="0" fillId="14" borderId="0" xfId="0" applyFill="1" applyBorder="1"/>
    <xf numFmtId="0" fontId="18" fillId="14" borderId="0" xfId="0" applyFont="1" applyFill="1" applyBorder="1" applyAlignment="1">
      <alignment horizontal="left" vertical="center" indent="5"/>
    </xf>
    <xf numFmtId="0" fontId="0" fillId="14" borderId="30" xfId="0" applyFill="1" applyBorder="1"/>
    <xf numFmtId="0" fontId="19" fillId="0" borderId="0" xfId="0" applyFont="1" applyAlignment="1">
      <alignment horizontal="left" wrapText="1"/>
    </xf>
    <xf numFmtId="0" fontId="19" fillId="0" borderId="21" xfId="0" applyFont="1" applyBorder="1" applyAlignment="1">
      <alignment wrapText="1"/>
    </xf>
    <xf numFmtId="0" fontId="3" fillId="0" borderId="21" xfId="0" applyFont="1" applyBorder="1" applyAlignment="1">
      <alignment wrapText="1"/>
    </xf>
    <xf numFmtId="0" fontId="0" fillId="7" borderId="29" xfId="0" applyFill="1" applyBorder="1"/>
    <xf numFmtId="0" fontId="0" fillId="7" borderId="0" xfId="0" applyFill="1" applyBorder="1"/>
    <xf numFmtId="0" fontId="0" fillId="7" borderId="30" xfId="0" applyFill="1" applyBorder="1"/>
    <xf numFmtId="43" fontId="2" fillId="13" borderId="1" xfId="0" applyNumberFormat="1" applyFont="1" applyFill="1" applyBorder="1"/>
    <xf numFmtId="0" fontId="17" fillId="0" borderId="21" xfId="0" applyFont="1" applyBorder="1" applyAlignment="1">
      <alignment wrapText="1"/>
    </xf>
    <xf numFmtId="43" fontId="3" fillId="0" borderId="1" xfId="1" applyFont="1" applyFill="1" applyBorder="1" applyAlignment="1"/>
    <xf numFmtId="43" fontId="3" fillId="0" borderId="1" xfId="0" applyNumberFormat="1" applyFont="1" applyFill="1" applyBorder="1"/>
    <xf numFmtId="0" fontId="3" fillId="0" borderId="21" xfId="0" applyFont="1" applyFill="1" applyBorder="1"/>
    <xf numFmtId="43" fontId="3" fillId="0" borderId="1" xfId="1" applyFont="1" applyBorder="1" applyAlignment="1"/>
    <xf numFmtId="0" fontId="19" fillId="13" borderId="1" xfId="0" applyFont="1" applyFill="1" applyBorder="1"/>
    <xf numFmtId="0" fontId="0" fillId="16" borderId="29" xfId="0" applyFill="1" applyBorder="1"/>
    <xf numFmtId="0" fontId="0" fillId="16" borderId="0" xfId="0" applyFill="1" applyBorder="1"/>
    <xf numFmtId="0" fontId="0" fillId="16" borderId="30" xfId="0" applyFill="1" applyBorder="1"/>
    <xf numFmtId="0" fontId="3" fillId="0" borderId="1" xfId="0" applyFont="1" applyBorder="1" applyAlignment="1">
      <alignment horizontal="left" vertical="center"/>
    </xf>
    <xf numFmtId="43" fontId="3" fillId="0" borderId="1" xfId="1" applyFont="1" applyFill="1" applyBorder="1" applyAlignment="1">
      <alignment horizontal="center" vertical="center"/>
    </xf>
    <xf numFmtId="43" fontId="19" fillId="0" borderId="3" xfId="1" applyFont="1" applyBorder="1" applyAlignment="1">
      <alignment vertical="center"/>
    </xf>
    <xf numFmtId="43" fontId="19" fillId="0" borderId="1" xfId="1" applyFont="1" applyBorder="1" applyAlignment="1">
      <alignment vertical="center"/>
    </xf>
    <xf numFmtId="43" fontId="3" fillId="0" borderId="1" xfId="1" applyFont="1" applyBorder="1" applyAlignment="1">
      <alignment horizontal="center" vertical="center"/>
    </xf>
    <xf numFmtId="43" fontId="3" fillId="0" borderId="5" xfId="1" applyFont="1" applyBorder="1" applyAlignment="1">
      <alignment horizontal="center" vertical="center"/>
    </xf>
    <xf numFmtId="0" fontId="19" fillId="0" borderId="1" xfId="0" applyFont="1" applyBorder="1" applyAlignment="1">
      <alignment wrapText="1"/>
    </xf>
    <xf numFmtId="43" fontId="3" fillId="0" borderId="5" xfId="0" applyNumberFormat="1" applyFont="1" applyBorder="1" applyAlignment="1">
      <alignment horizontal="center" vertical="center"/>
    </xf>
    <xf numFmtId="0" fontId="19" fillId="0" borderId="1" xfId="0" applyFont="1" applyBorder="1" applyAlignment="1">
      <alignment horizontal="left" wrapText="1"/>
    </xf>
    <xf numFmtId="166" fontId="19" fillId="0" borderId="1" xfId="1" applyNumberFormat="1" applyFont="1" applyBorder="1" applyAlignment="1">
      <alignment vertical="center"/>
    </xf>
    <xf numFmtId="0" fontId="3" fillId="0" borderId="32" xfId="0" applyFont="1" applyBorder="1" applyAlignment="1">
      <alignment horizontal="left" wrapText="1"/>
    </xf>
    <xf numFmtId="0" fontId="3" fillId="17" borderId="1" xfId="0" applyFont="1" applyFill="1" applyBorder="1" applyAlignment="1">
      <alignment horizontal="center" vertical="center"/>
    </xf>
    <xf numFmtId="43" fontId="3" fillId="17" borderId="1" xfId="1" applyFont="1" applyFill="1" applyBorder="1" applyAlignment="1">
      <alignment horizontal="center" vertical="center"/>
    </xf>
    <xf numFmtId="0" fontId="19" fillId="17" borderId="1" xfId="0" applyFont="1" applyFill="1" applyBorder="1" applyAlignment="1">
      <alignment vertical="center" wrapText="1"/>
    </xf>
    <xf numFmtId="0" fontId="3" fillId="0" borderId="1" xfId="0" applyFont="1" applyBorder="1" applyAlignment="1">
      <alignment vertical="center"/>
    </xf>
    <xf numFmtId="43" fontId="3" fillId="0" borderId="1" xfId="1" applyFont="1" applyBorder="1" applyAlignment="1">
      <alignment vertical="center"/>
    </xf>
    <xf numFmtId="43" fontId="3" fillId="0" borderId="1" xfId="0" applyNumberFormat="1" applyFont="1" applyBorder="1" applyAlignment="1">
      <alignment vertical="center"/>
    </xf>
    <xf numFmtId="15" fontId="3" fillId="0" borderId="1" xfId="0" applyNumberFormat="1" applyFont="1" applyBorder="1" applyAlignment="1">
      <alignment horizontal="center" vertical="center" wrapText="1"/>
    </xf>
    <xf numFmtId="0" fontId="0" fillId="19" borderId="29" xfId="0" applyFill="1" applyBorder="1"/>
    <xf numFmtId="43" fontId="3" fillId="0" borderId="1" xfId="1" applyFont="1" applyFill="1" applyBorder="1" applyAlignment="1">
      <alignment vertical="center"/>
    </xf>
    <xf numFmtId="43" fontId="3" fillId="0" borderId="1" xfId="0" applyNumberFormat="1" applyFont="1" applyBorder="1" applyAlignment="1">
      <alignment horizontal="center" vertical="center"/>
    </xf>
    <xf numFmtId="0" fontId="19" fillId="0" borderId="31" xfId="0" applyFont="1" applyBorder="1" applyAlignment="1">
      <alignment horizontal="left" wrapText="1"/>
    </xf>
    <xf numFmtId="0" fontId="19" fillId="0" borderId="1" xfId="0" applyFont="1" applyFill="1" applyBorder="1"/>
    <xf numFmtId="0" fontId="19" fillId="0" borderId="21" xfId="0" applyFont="1" applyFill="1" applyBorder="1" applyAlignment="1">
      <alignment wrapText="1"/>
    </xf>
    <xf numFmtId="0" fontId="17" fillId="0" borderId="21" xfId="0" applyFont="1" applyFill="1" applyBorder="1" applyAlignment="1">
      <alignment wrapText="1"/>
    </xf>
    <xf numFmtId="43" fontId="19" fillId="0" borderId="1" xfId="1" applyFont="1" applyBorder="1" applyAlignment="1"/>
    <xf numFmtId="0" fontId="19" fillId="0" borderId="1" xfId="0" applyFont="1" applyBorder="1"/>
    <xf numFmtId="43" fontId="19" fillId="0" borderId="32" xfId="1" applyFont="1" applyBorder="1" applyAlignment="1"/>
    <xf numFmtId="0" fontId="19" fillId="0" borderId="1" xfId="0" applyFont="1" applyFill="1" applyBorder="1" applyAlignment="1">
      <alignment wrapText="1"/>
    </xf>
    <xf numFmtId="43" fontId="3" fillId="0" borderId="32" xfId="1" applyFont="1" applyBorder="1" applyAlignment="1"/>
    <xf numFmtId="0" fontId="3" fillId="0" borderId="3" xfId="0" applyFont="1" applyBorder="1" applyAlignment="1"/>
    <xf numFmtId="0" fontId="0" fillId="0" borderId="4" xfId="0" applyBorder="1" applyAlignment="1"/>
    <xf numFmtId="0" fontId="0" fillId="0" borderId="34" xfId="0" applyBorder="1" applyAlignment="1"/>
    <xf numFmtId="0" fontId="0" fillId="10" borderId="29" xfId="0" applyFill="1" applyBorder="1"/>
    <xf numFmtId="0" fontId="0" fillId="10" borderId="0" xfId="0" applyFill="1" applyBorder="1"/>
    <xf numFmtId="0" fontId="0" fillId="10" borderId="30" xfId="0" applyFill="1" applyBorder="1"/>
    <xf numFmtId="0" fontId="2" fillId="13" borderId="31" xfId="0" applyFont="1" applyFill="1" applyBorder="1" applyAlignment="1">
      <alignment wrapText="1"/>
    </xf>
    <xf numFmtId="0" fontId="2" fillId="13" borderId="38" xfId="0" applyFont="1" applyFill="1" applyBorder="1"/>
    <xf numFmtId="170" fontId="3" fillId="0" borderId="1" xfId="0" applyNumberFormat="1" applyFont="1" applyBorder="1" applyAlignment="1">
      <alignment vertical="center" wrapText="1"/>
    </xf>
    <xf numFmtId="0" fontId="19" fillId="0" borderId="1" xfId="0" applyFont="1" applyBorder="1" applyAlignment="1">
      <alignment vertical="center" wrapText="1"/>
    </xf>
    <xf numFmtId="0" fontId="3" fillId="13" borderId="32" xfId="0" applyFont="1" applyFill="1" applyBorder="1"/>
    <xf numFmtId="0" fontId="3" fillId="13" borderId="39" xfId="0" applyFont="1" applyFill="1" applyBorder="1"/>
    <xf numFmtId="170" fontId="3" fillId="0" borderId="1" xfId="0" applyNumberFormat="1" applyFont="1" applyBorder="1" applyAlignment="1">
      <alignment vertical="center"/>
    </xf>
    <xf numFmtId="0" fontId="3" fillId="0" borderId="21" xfId="0" applyFont="1" applyBorder="1" applyAlignment="1">
      <alignment vertical="center" wrapText="1"/>
    </xf>
    <xf numFmtId="0" fontId="3" fillId="0" borderId="1" xfId="0" applyFont="1" applyFill="1" applyBorder="1" applyAlignment="1">
      <alignment wrapText="1"/>
    </xf>
    <xf numFmtId="0" fontId="17" fillId="0" borderId="0" xfId="0" applyFont="1" applyAlignment="1">
      <alignment horizontal="justify" vertical="center"/>
    </xf>
    <xf numFmtId="166" fontId="15" fillId="0" borderId="0" xfId="1" applyNumberFormat="1" applyFont="1" applyBorder="1"/>
    <xf numFmtId="166" fontId="21" fillId="0" borderId="0" xfId="1" applyNumberFormat="1" applyFont="1"/>
    <xf numFmtId="0" fontId="21" fillId="0" borderId="0" xfId="0" applyFont="1"/>
    <xf numFmtId="43" fontId="21" fillId="0" borderId="0" xfId="1" applyFont="1"/>
    <xf numFmtId="166" fontId="21" fillId="0" borderId="0" xfId="0" applyNumberFormat="1" applyFont="1"/>
    <xf numFmtId="166" fontId="22" fillId="0" borderId="1" xfId="1" applyNumberFormat="1" applyFont="1" applyBorder="1" applyAlignment="1">
      <alignment wrapText="1"/>
    </xf>
    <xf numFmtId="43" fontId="21" fillId="0" borderId="0" xfId="0" applyNumberFormat="1" applyFont="1"/>
    <xf numFmtId="0" fontId="23" fillId="0" borderId="0" xfId="0" applyFont="1" applyAlignment="1">
      <alignment horizontal="left" vertical="center"/>
    </xf>
    <xf numFmtId="0" fontId="24" fillId="11" borderId="16" xfId="0" applyFont="1" applyFill="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wrapText="1"/>
    </xf>
    <xf numFmtId="166" fontId="12" fillId="0" borderId="1" xfId="1" applyNumberFormat="1" applyFont="1" applyBorder="1" applyAlignment="1">
      <alignment wrapText="1"/>
    </xf>
    <xf numFmtId="166" fontId="12" fillId="0" borderId="21" xfId="1" applyNumberFormat="1" applyFont="1" applyBorder="1" applyAlignment="1">
      <alignment wrapText="1"/>
    </xf>
    <xf numFmtId="166" fontId="12" fillId="3" borderId="21" xfId="1" applyNumberFormat="1" applyFont="1" applyFill="1" applyBorder="1" applyAlignment="1">
      <alignment wrapText="1"/>
    </xf>
    <xf numFmtId="9" fontId="12" fillId="0" borderId="1" xfId="2" applyNumberFormat="1" applyFont="1" applyBorder="1" applyAlignment="1">
      <alignment wrapText="1"/>
    </xf>
    <xf numFmtId="0" fontId="11" fillId="0" borderId="20" xfId="0" applyFont="1" applyBorder="1" applyAlignment="1">
      <alignment wrapText="1"/>
    </xf>
    <xf numFmtId="166" fontId="11" fillId="0" borderId="1" xfId="1" applyNumberFormat="1" applyFont="1" applyBorder="1" applyAlignment="1">
      <alignment wrapText="1"/>
    </xf>
    <xf numFmtId="166" fontId="11" fillId="3" borderId="21" xfId="1" applyNumberFormat="1" applyFont="1" applyFill="1" applyBorder="1" applyAlignment="1">
      <alignment wrapText="1"/>
    </xf>
    <xf numFmtId="9" fontId="12" fillId="0" borderId="1" xfId="2" applyFont="1" applyBorder="1" applyAlignment="1">
      <alignment wrapText="1"/>
    </xf>
    <xf numFmtId="0" fontId="12" fillId="0" borderId="22" xfId="0" applyFont="1" applyBorder="1" applyAlignment="1">
      <alignment horizontal="left" vertical="center" wrapText="1"/>
    </xf>
    <xf numFmtId="0" fontId="11" fillId="0" borderId="23" xfId="0" applyFont="1" applyBorder="1" applyAlignment="1">
      <alignment horizontal="justify" vertical="center" wrapText="1"/>
    </xf>
    <xf numFmtId="0" fontId="11" fillId="0" borderId="24" xfId="0" applyFont="1" applyBorder="1" applyAlignment="1">
      <alignment horizontal="justify" vertical="center" wrapText="1"/>
    </xf>
    <xf numFmtId="166" fontId="11" fillId="0" borderId="24" xfId="1" applyNumberFormat="1" applyFont="1" applyBorder="1" applyAlignment="1">
      <alignment horizontal="right" wrapText="1"/>
    </xf>
    <xf numFmtId="166" fontId="11" fillId="0" borderId="25" xfId="1" applyNumberFormat="1" applyFont="1" applyBorder="1" applyAlignment="1">
      <alignment horizontal="right" wrapText="1"/>
    </xf>
    <xf numFmtId="0" fontId="3" fillId="0" borderId="0" xfId="0" applyFont="1"/>
    <xf numFmtId="0" fontId="15" fillId="0" borderId="0" xfId="0" applyFont="1"/>
    <xf numFmtId="0" fontId="27" fillId="0" borderId="0" xfId="0" applyFont="1"/>
    <xf numFmtId="0" fontId="2" fillId="0" borderId="0" xfId="0" applyFont="1"/>
    <xf numFmtId="167" fontId="3" fillId="0" borderId="0" xfId="0" applyNumberFormat="1" applyFont="1"/>
    <xf numFmtId="4" fontId="3" fillId="0" borderId="0" xfId="1" applyNumberFormat="1" applyFont="1"/>
    <xf numFmtId="167" fontId="2" fillId="4" borderId="3" xfId="0" applyNumberFormat="1" applyFont="1" applyFill="1" applyBorder="1"/>
    <xf numFmtId="167" fontId="2" fillId="4" borderId="4" xfId="0" applyNumberFormat="1" applyFont="1" applyFill="1" applyBorder="1"/>
    <xf numFmtId="0" fontId="2" fillId="4" borderId="4" xfId="0" applyFont="1" applyFill="1" applyBorder="1"/>
    <xf numFmtId="0" fontId="3" fillId="0" borderId="0" xfId="0" applyFont="1" applyAlignment="1">
      <alignment horizontal="center"/>
    </xf>
    <xf numFmtId="43" fontId="3" fillId="0" borderId="0" xfId="1" applyNumberFormat="1" applyFont="1"/>
    <xf numFmtId="43" fontId="3" fillId="0" borderId="0" xfId="0" applyNumberFormat="1" applyFont="1"/>
    <xf numFmtId="15" fontId="3" fillId="0" borderId="0" xfId="0" applyNumberFormat="1" applyFont="1"/>
    <xf numFmtId="167" fontId="2" fillId="0" borderId="0" xfId="0" applyNumberFormat="1" applyFont="1"/>
    <xf numFmtId="167" fontId="2" fillId="0" borderId="14" xfId="0" applyNumberFormat="1" applyFont="1" applyBorder="1"/>
    <xf numFmtId="167" fontId="2" fillId="0" borderId="15" xfId="0" applyNumberFormat="1" applyFont="1" applyBorder="1"/>
    <xf numFmtId="0" fontId="2" fillId="0" borderId="15" xfId="0" applyFont="1" applyBorder="1"/>
    <xf numFmtId="0" fontId="2" fillId="4" borderId="5" xfId="0" applyFont="1" applyFill="1" applyBorder="1" applyAlignment="1">
      <alignment horizontal="center"/>
    </xf>
    <xf numFmtId="43" fontId="22" fillId="0" borderId="0" xfId="1" applyFont="1" applyAlignment="1">
      <alignment horizontal="center"/>
    </xf>
    <xf numFmtId="43" fontId="3" fillId="0" borderId="0" xfId="1" applyFont="1" applyAlignment="1">
      <alignment horizontal="center"/>
    </xf>
    <xf numFmtId="43" fontId="3" fillId="0" borderId="0" xfId="0" applyNumberFormat="1" applyFont="1" applyAlignment="1">
      <alignment horizontal="center"/>
    </xf>
    <xf numFmtId="166" fontId="22" fillId="0" borderId="0" xfId="1" applyNumberFormat="1" applyFont="1" applyBorder="1" applyAlignment="1">
      <alignment wrapText="1"/>
    </xf>
    <xf numFmtId="10" fontId="12" fillId="0" borderId="21" xfId="2" applyNumberFormat="1" applyFont="1" applyBorder="1" applyAlignment="1">
      <alignment wrapText="1"/>
    </xf>
    <xf numFmtId="0" fontId="28" fillId="4" borderId="0" xfId="0" applyFont="1" applyFill="1"/>
    <xf numFmtId="0" fontId="30" fillId="4" borderId="0" xfId="0" applyFont="1" applyFill="1"/>
    <xf numFmtId="0" fontId="15" fillId="6" borderId="0" xfId="0" applyFont="1" applyFill="1"/>
    <xf numFmtId="43" fontId="15" fillId="0" borderId="0" xfId="1" applyNumberFormat="1" applyFont="1"/>
    <xf numFmtId="43" fontId="28" fillId="0" borderId="2" xfId="0" applyNumberFormat="1" applyFont="1" applyBorder="1"/>
    <xf numFmtId="0" fontId="29" fillId="0" borderId="0" xfId="0" applyFont="1"/>
    <xf numFmtId="166" fontId="3" fillId="0" borderId="0" xfId="1" applyNumberFormat="1" applyFont="1" applyAlignment="1">
      <alignment horizontal="center"/>
    </xf>
    <xf numFmtId="166" fontId="2" fillId="4" borderId="4" xfId="1" applyNumberFormat="1" applyFont="1" applyFill="1" applyBorder="1" applyAlignment="1">
      <alignment horizontal="center"/>
    </xf>
    <xf numFmtId="166" fontId="2" fillId="0" borderId="0" xfId="1" applyNumberFormat="1" applyFont="1" applyAlignment="1">
      <alignment horizontal="center"/>
    </xf>
    <xf numFmtId="166" fontId="2" fillId="0" borderId="18" xfId="1" applyNumberFormat="1" applyFont="1" applyBorder="1" applyAlignment="1">
      <alignment horizontal="center" vertical="center"/>
    </xf>
    <xf numFmtId="166" fontId="2" fillId="0" borderId="2" xfId="1" applyNumberFormat="1" applyFont="1" applyBorder="1" applyAlignment="1">
      <alignment horizontal="center"/>
    </xf>
    <xf numFmtId="166" fontId="2" fillId="0" borderId="17" xfId="1" applyNumberFormat="1" applyFont="1" applyBorder="1" applyAlignment="1">
      <alignment horizontal="center"/>
    </xf>
    <xf numFmtId="166" fontId="3" fillId="0" borderId="0" xfId="0" applyNumberFormat="1" applyFont="1"/>
    <xf numFmtId="0" fontId="3" fillId="0" borderId="0" xfId="0" applyFont="1" applyFill="1" applyBorder="1"/>
    <xf numFmtId="0" fontId="3" fillId="0" borderId="0" xfId="0" applyFont="1" applyFill="1" applyBorder="1" applyAlignment="1">
      <alignment wrapText="1"/>
    </xf>
    <xf numFmtId="0" fontId="3" fillId="0" borderId="0" xfId="0" applyFont="1" applyBorder="1"/>
    <xf numFmtId="166" fontId="15" fillId="0" borderId="0" xfId="0" applyNumberFormat="1" applyFont="1" applyBorder="1"/>
    <xf numFmtId="166" fontId="2" fillId="0" borderId="0" xfId="1" applyNumberFormat="1" applyFont="1" applyBorder="1" applyAlignment="1">
      <alignment horizontal="center" vertical="center"/>
    </xf>
    <xf numFmtId="43" fontId="32" fillId="0" borderId="0" xfId="0" applyNumberFormat="1" applyFont="1"/>
    <xf numFmtId="164" fontId="3" fillId="0" borderId="0" xfId="0" applyNumberFormat="1" applyFont="1" applyAlignment="1">
      <alignment horizontal="center"/>
    </xf>
    <xf numFmtId="43" fontId="33" fillId="0" borderId="0" xfId="1" applyNumberFormat="1" applyFont="1"/>
    <xf numFmtId="15" fontId="19" fillId="0" borderId="0" xfId="0" applyNumberFormat="1" applyFont="1"/>
    <xf numFmtId="0" fontId="19" fillId="0" borderId="0" xfId="0" applyFont="1"/>
    <xf numFmtId="167" fontId="19" fillId="0" borderId="0" xfId="0" applyNumberFormat="1" applyFont="1"/>
    <xf numFmtId="166" fontId="19" fillId="0" borderId="0" xfId="1" applyNumberFormat="1" applyFont="1" applyAlignment="1">
      <alignment horizontal="center"/>
    </xf>
    <xf numFmtId="164" fontId="27" fillId="0" borderId="0" xfId="0" applyNumberFormat="1" applyFont="1"/>
    <xf numFmtId="166" fontId="3" fillId="0" borderId="2" xfId="1" applyNumberFormat="1" applyFont="1" applyBorder="1" applyAlignment="1">
      <alignment horizontal="center"/>
    </xf>
    <xf numFmtId="0" fontId="34" fillId="0" borderId="19" xfId="0" applyFont="1" applyBorder="1" applyAlignment="1">
      <alignment horizontal="center" vertical="center" wrapText="1"/>
    </xf>
    <xf numFmtId="166" fontId="34" fillId="0" borderId="21" xfId="1" applyNumberFormat="1" applyFont="1" applyBorder="1" applyAlignment="1">
      <alignment wrapText="1"/>
    </xf>
    <xf numFmtId="43" fontId="20" fillId="8" borderId="0" xfId="1" applyFont="1" applyFill="1"/>
    <xf numFmtId="3" fontId="20" fillId="8" borderId="0" xfId="0" applyNumberFormat="1" applyFont="1" applyFill="1"/>
    <xf numFmtId="0" fontId="20" fillId="0" borderId="0" xfId="0" applyFont="1"/>
    <xf numFmtId="166" fontId="13" fillId="0" borderId="0" xfId="0" applyNumberFormat="1" applyFont="1"/>
    <xf numFmtId="43" fontId="13" fillId="0" borderId="0" xfId="0" applyNumberFormat="1" applyFont="1"/>
    <xf numFmtId="166" fontId="13" fillId="0" borderId="0" xfId="1" applyNumberFormat="1" applyFont="1"/>
    <xf numFmtId="43" fontId="13" fillId="0" borderId="0" xfId="1" applyFont="1"/>
    <xf numFmtId="0" fontId="13" fillId="0" borderId="0" xfId="0" applyFont="1"/>
    <xf numFmtId="10" fontId="11" fillId="0" borderId="21" xfId="2" applyNumberFormat="1" applyFont="1" applyBorder="1" applyAlignment="1">
      <alignment wrapText="1"/>
    </xf>
    <xf numFmtId="10" fontId="11" fillId="0" borderId="40" xfId="2" applyNumberFormat="1" applyFont="1" applyBorder="1" applyAlignment="1">
      <alignment wrapText="1"/>
    </xf>
    <xf numFmtId="166" fontId="34" fillId="3" borderId="21" xfId="1" applyNumberFormat="1" applyFont="1" applyFill="1" applyBorder="1" applyAlignment="1">
      <alignment wrapText="1"/>
    </xf>
    <xf numFmtId="0" fontId="34" fillId="0" borderId="20" xfId="0" applyFont="1" applyFill="1" applyBorder="1" applyAlignment="1">
      <alignment wrapText="1"/>
    </xf>
    <xf numFmtId="166" fontId="34" fillId="0" borderId="1" xfId="1" applyNumberFormat="1" applyFont="1" applyFill="1" applyBorder="1" applyAlignment="1">
      <alignment wrapText="1"/>
    </xf>
    <xf numFmtId="9" fontId="34" fillId="0" borderId="1" xfId="2" applyNumberFormat="1" applyFont="1" applyFill="1" applyBorder="1" applyAlignment="1">
      <alignment wrapText="1"/>
    </xf>
    <xf numFmtId="166" fontId="34" fillId="0" borderId="21" xfId="1" applyNumberFormat="1" applyFont="1" applyFill="1" applyBorder="1" applyAlignment="1">
      <alignment wrapText="1"/>
    </xf>
    <xf numFmtId="10" fontId="34" fillId="0" borderId="21" xfId="2" applyNumberFormat="1" applyFont="1" applyFill="1" applyBorder="1" applyAlignment="1">
      <alignment wrapText="1"/>
    </xf>
    <xf numFmtId="43" fontId="36" fillId="0" borderId="0" xfId="0" applyNumberFormat="1" applyFont="1"/>
    <xf numFmtId="166" fontId="35" fillId="0" borderId="3" xfId="1" applyNumberFormat="1" applyFont="1" applyBorder="1" applyAlignment="1">
      <alignment wrapText="1"/>
    </xf>
    <xf numFmtId="166" fontId="11" fillId="3" borderId="41" xfId="1" applyNumberFormat="1" applyFont="1" applyFill="1" applyBorder="1" applyAlignment="1">
      <alignment wrapText="1"/>
    </xf>
    <xf numFmtId="166" fontId="11" fillId="0" borderId="42" xfId="1" applyNumberFormat="1" applyFont="1" applyBorder="1" applyAlignment="1">
      <alignment horizontal="right" wrapText="1"/>
    </xf>
    <xf numFmtId="166" fontId="11" fillId="0" borderId="40" xfId="1" applyNumberFormat="1" applyFont="1" applyBorder="1" applyAlignment="1">
      <alignment horizontal="right" wrapText="1"/>
    </xf>
    <xf numFmtId="0" fontId="3" fillId="0" borderId="3" xfId="0" applyFont="1" applyBorder="1" applyAlignment="1"/>
    <xf numFmtId="0" fontId="0" fillId="0" borderId="4" xfId="0" applyBorder="1" applyAlignment="1"/>
    <xf numFmtId="0" fontId="0" fillId="0" borderId="34" xfId="0" applyBorder="1" applyAlignment="1"/>
    <xf numFmtId="0" fontId="3" fillId="0" borderId="1" xfId="0" applyFont="1" applyBorder="1" applyAlignment="1">
      <alignment wrapText="1"/>
    </xf>
    <xf numFmtId="0" fontId="0" fillId="0" borderId="1" xfId="0" applyBorder="1" applyAlignment="1"/>
    <xf numFmtId="0" fontId="0" fillId="0" borderId="21" xfId="0" applyBorder="1" applyAlignment="1"/>
    <xf numFmtId="0" fontId="2" fillId="0" borderId="20" xfId="0" applyFont="1" applyBorder="1" applyAlignment="1">
      <alignment horizontal="center" vertical="center"/>
    </xf>
    <xf numFmtId="0" fontId="0" fillId="0" borderId="20" xfId="0" applyBorder="1" applyAlignment="1"/>
    <xf numFmtId="0" fontId="0" fillId="0" borderId="23" xfId="0" applyBorder="1" applyAlignment="1"/>
    <xf numFmtId="0" fontId="2" fillId="0" borderId="1" xfId="0" applyFont="1" applyBorder="1" applyAlignment="1">
      <alignment vertical="center"/>
    </xf>
    <xf numFmtId="0" fontId="3" fillId="0" borderId="33" xfId="0" applyFont="1" applyBorder="1" applyAlignment="1">
      <alignment horizontal="center" vertical="center"/>
    </xf>
    <xf numFmtId="0" fontId="2" fillId="0" borderId="24" xfId="0" applyFont="1" applyBorder="1" applyAlignment="1">
      <alignment vertical="center"/>
    </xf>
    <xf numFmtId="0" fontId="3" fillId="0" borderId="3" xfId="0" applyFont="1" applyBorder="1" applyAlignment="1">
      <alignment wrapText="1"/>
    </xf>
    <xf numFmtId="0" fontId="3" fillId="0" borderId="24" xfId="0" applyFont="1" applyBorder="1" applyAlignment="1">
      <alignment wrapText="1"/>
    </xf>
    <xf numFmtId="0" fontId="0" fillId="0" borderId="24" xfId="0" applyBorder="1" applyAlignment="1"/>
    <xf numFmtId="0" fontId="0" fillId="0" borderId="25" xfId="0" applyBorder="1" applyAlignment="1"/>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35" xfId="0" applyFont="1" applyBorder="1" applyAlignment="1">
      <alignment horizontal="left" wrapText="1"/>
    </xf>
    <xf numFmtId="0" fontId="0" fillId="20" borderId="19" xfId="0" applyFill="1" applyBorder="1" applyAlignment="1"/>
    <xf numFmtId="0" fontId="0" fillId="20" borderId="4" xfId="0" applyFill="1" applyBorder="1" applyAlignment="1"/>
    <xf numFmtId="0" fontId="0" fillId="20" borderId="34" xfId="0" applyFill="1" applyBorder="1" applyAlignment="1"/>
    <xf numFmtId="0" fontId="3" fillId="0" borderId="1" xfId="0" applyFont="1" applyBorder="1" applyAlignment="1">
      <alignment horizontal="center" vertical="center"/>
    </xf>
    <xf numFmtId="0" fontId="0" fillId="0" borderId="33" xfId="0" applyBorder="1" applyAlignment="1"/>
    <xf numFmtId="0" fontId="0" fillId="0" borderId="32" xfId="0" applyBorder="1" applyAlignment="1"/>
    <xf numFmtId="0" fontId="19" fillId="0" borderId="1" xfId="0" applyFont="1" applyBorder="1" applyAlignment="1">
      <alignment wrapText="1"/>
    </xf>
    <xf numFmtId="0" fontId="20" fillId="0" borderId="1" xfId="0" applyFont="1" applyBorder="1" applyAlignment="1"/>
    <xf numFmtId="0" fontId="20" fillId="0" borderId="21" xfId="0" applyFont="1" applyBorder="1" applyAlignment="1"/>
    <xf numFmtId="0" fontId="3" fillId="0" borderId="1" xfId="0" applyFont="1" applyBorder="1" applyAlignment="1"/>
    <xf numFmtId="0" fontId="0" fillId="19" borderId="4" xfId="0" applyFill="1" applyBorder="1" applyAlignment="1"/>
    <xf numFmtId="0" fontId="0" fillId="19" borderId="34" xfId="0" applyFill="1" applyBorder="1" applyAlignment="1"/>
    <xf numFmtId="0" fontId="3" fillId="0" borderId="32" xfId="0" applyFont="1" applyBorder="1" applyAlignment="1">
      <alignment horizontal="center" vertical="center"/>
    </xf>
    <xf numFmtId="0" fontId="0" fillId="18" borderId="36" xfId="0" applyFill="1" applyBorder="1" applyAlignment="1"/>
    <xf numFmtId="0" fontId="0" fillId="18" borderId="7" xfId="0" applyFill="1" applyBorder="1" applyAlignment="1"/>
    <xf numFmtId="0" fontId="0" fillId="18" borderId="37" xfId="0" applyFill="1" applyBorder="1" applyAlignment="1"/>
    <xf numFmtId="43" fontId="3" fillId="0" borderId="31" xfId="1" applyFont="1" applyBorder="1" applyAlignment="1">
      <alignment vertical="center"/>
    </xf>
    <xf numFmtId="0" fontId="0" fillId="0" borderId="32" xfId="0" applyBorder="1" applyAlignment="1">
      <alignment vertical="center"/>
    </xf>
    <xf numFmtId="0" fontId="3" fillId="0" borderId="31" xfId="0" applyFont="1" applyBorder="1" applyAlignment="1">
      <alignment horizontal="center" vertical="center"/>
    </xf>
    <xf numFmtId="43" fontId="3" fillId="0" borderId="31" xfId="1" applyFont="1" applyBorder="1" applyAlignment="1">
      <alignment horizontal="left" vertical="center"/>
    </xf>
    <xf numFmtId="0" fontId="0" fillId="0" borderId="33" xfId="0" applyBorder="1" applyAlignment="1">
      <alignment horizontal="left" vertical="center"/>
    </xf>
    <xf numFmtId="43" fontId="3" fillId="0" borderId="31" xfId="1" applyFont="1" applyFill="1" applyBorder="1" applyAlignment="1">
      <alignment horizontal="center" vertical="center"/>
    </xf>
    <xf numFmtId="0" fontId="0" fillId="0" borderId="32" xfId="0" applyFill="1" applyBorder="1" applyAlignment="1">
      <alignment horizontal="center" vertical="center"/>
    </xf>
    <xf numFmtId="43" fontId="3" fillId="0" borderId="31" xfId="0" applyNumberFormat="1" applyFont="1" applyFill="1" applyBorder="1" applyAlignment="1">
      <alignment vertical="center"/>
    </xf>
    <xf numFmtId="0" fontId="3" fillId="0" borderId="31" xfId="0" applyFont="1" applyFill="1" applyBorder="1" applyAlignment="1">
      <alignment horizontal="center"/>
    </xf>
    <xf numFmtId="0" fontId="3" fillId="0" borderId="32" xfId="0" applyFont="1" applyFill="1" applyBorder="1" applyAlignment="1">
      <alignment horizontal="center"/>
    </xf>
    <xf numFmtId="0" fontId="17" fillId="0" borderId="38" xfId="0" applyFont="1" applyBorder="1" applyAlignment="1">
      <alignment horizontal="left" wrapText="1"/>
    </xf>
    <xf numFmtId="0" fontId="17" fillId="0" borderId="39" xfId="0" applyFont="1" applyBorder="1" applyAlignment="1">
      <alignment horizontal="left" wrapText="1"/>
    </xf>
    <xf numFmtId="0" fontId="3" fillId="0" borderId="3" xfId="0" applyFont="1" applyBorder="1" applyAlignment="1">
      <alignment horizontal="left"/>
    </xf>
    <xf numFmtId="0" fontId="3" fillId="0" borderId="4" xfId="0" applyFont="1" applyBorder="1" applyAlignment="1">
      <alignment horizontal="left"/>
    </xf>
    <xf numFmtId="0" fontId="19" fillId="0" borderId="31" xfId="0" applyFont="1" applyBorder="1" applyAlignment="1">
      <alignment horizontal="left" vertical="center" wrapText="1"/>
    </xf>
    <xf numFmtId="0" fontId="19" fillId="0" borderId="33" xfId="0" applyFont="1" applyBorder="1" applyAlignment="1">
      <alignment horizontal="left" vertical="center" wrapText="1"/>
    </xf>
    <xf numFmtId="0" fontId="20" fillId="0" borderId="32" xfId="0" applyFont="1" applyBorder="1" applyAlignment="1">
      <alignment vertical="center" wrapText="1"/>
    </xf>
    <xf numFmtId="0" fontId="3" fillId="0" borderId="5" xfId="0" applyFont="1" applyBorder="1" applyAlignment="1">
      <alignment horizontal="left"/>
    </xf>
    <xf numFmtId="0" fontId="3" fillId="0" borderId="5" xfId="0" applyFont="1" applyBorder="1" applyAlignment="1">
      <alignment horizontal="left" wrapText="1"/>
    </xf>
    <xf numFmtId="43" fontId="3" fillId="0" borderId="31" xfId="1" applyFont="1" applyBorder="1" applyAlignment="1">
      <alignment horizontal="center" vertical="center"/>
    </xf>
    <xf numFmtId="43" fontId="3" fillId="0" borderId="33" xfId="1" applyFont="1" applyBorder="1" applyAlignment="1">
      <alignment horizontal="center" vertical="center"/>
    </xf>
    <xf numFmtId="43" fontId="3" fillId="0" borderId="32" xfId="1" applyFont="1" applyBorder="1" applyAlignment="1">
      <alignment horizontal="center" vertical="center"/>
    </xf>
    <xf numFmtId="0" fontId="0" fillId="0" borderId="35" xfId="0" applyBorder="1" applyAlignment="1"/>
    <xf numFmtId="0" fontId="0" fillId="0" borderId="32" xfId="0" applyBorder="1" applyAlignment="1">
      <alignment horizontal="lef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2" xfId="0" applyBorder="1" applyAlignment="1">
      <alignment horizontal="center" vertical="center"/>
    </xf>
    <xf numFmtId="15" fontId="3" fillId="0" borderId="31" xfId="0" applyNumberFormat="1" applyFont="1" applyFill="1" applyBorder="1" applyAlignment="1">
      <alignment vertical="center"/>
    </xf>
    <xf numFmtId="0" fontId="0" fillId="15" borderId="19" xfId="0" applyFill="1" applyBorder="1" applyAlignment="1"/>
    <xf numFmtId="0" fontId="0" fillId="15" borderId="4" xfId="0" applyFill="1" applyBorder="1" applyAlignment="1"/>
    <xf numFmtId="0" fontId="0" fillId="15" borderId="34" xfId="0" applyFill="1" applyBorder="1" applyAlignment="1"/>
    <xf numFmtId="43" fontId="3" fillId="14" borderId="31" xfId="1" applyFont="1" applyFill="1" applyBorder="1" applyAlignment="1">
      <alignment horizontal="center" vertical="center"/>
    </xf>
    <xf numFmtId="43" fontId="3" fillId="14" borderId="33" xfId="1" applyFont="1" applyFill="1" applyBorder="1" applyAlignment="1">
      <alignment horizontal="center" vertical="center"/>
    </xf>
    <xf numFmtId="43" fontId="3" fillId="14" borderId="32" xfId="1" applyFont="1" applyFill="1" applyBorder="1" applyAlignment="1">
      <alignment horizontal="center" vertical="center"/>
    </xf>
    <xf numFmtId="0" fontId="0" fillId="0" borderId="33" xfId="0" applyFill="1" applyBorder="1" applyAlignment="1">
      <alignment horizontal="center" vertical="center"/>
    </xf>
    <xf numFmtId="43" fontId="3" fillId="0" borderId="31" xfId="0" applyNumberFormat="1" applyFont="1" applyBorder="1" applyAlignment="1">
      <alignment horizontal="center" vertical="center"/>
    </xf>
    <xf numFmtId="43" fontId="3" fillId="0" borderId="33" xfId="0" applyNumberFormat="1" applyFont="1" applyBorder="1" applyAlignment="1">
      <alignment horizontal="center" vertical="center"/>
    </xf>
    <xf numFmtId="43" fontId="3" fillId="0" borderId="32" xfId="0" applyNumberFormat="1" applyFont="1" applyBorder="1" applyAlignment="1">
      <alignment horizontal="center" vertical="center"/>
    </xf>
    <xf numFmtId="15" fontId="3" fillId="0" borderId="31" xfId="0" applyNumberFormat="1" applyFont="1" applyBorder="1" applyAlignment="1">
      <alignment horizontal="center" vertical="center"/>
    </xf>
    <xf numFmtId="15" fontId="3" fillId="0" borderId="33" xfId="0" applyNumberFormat="1" applyFont="1" applyBorder="1" applyAlignment="1">
      <alignment horizontal="center" vertical="center"/>
    </xf>
    <xf numFmtId="15" fontId="3" fillId="0" borderId="32" xfId="0" applyNumberFormat="1" applyFont="1" applyBorder="1" applyAlignment="1">
      <alignment horizontal="center" vertical="center"/>
    </xf>
    <xf numFmtId="0" fontId="19" fillId="0" borderId="31" xfId="0" applyFont="1" applyBorder="1" applyAlignment="1">
      <alignment horizontal="left" wrapText="1"/>
    </xf>
    <xf numFmtId="0" fontId="19" fillId="0" borderId="33" xfId="0" applyFont="1" applyBorder="1" applyAlignment="1">
      <alignment horizontal="left" wrapText="1"/>
    </xf>
    <xf numFmtId="0" fontId="19" fillId="0" borderId="32" xfId="0" applyFont="1" applyBorder="1" applyAlignment="1">
      <alignment horizontal="left" wrapText="1"/>
    </xf>
    <xf numFmtId="0" fontId="17" fillId="0" borderId="1" xfId="0" applyFont="1" applyBorder="1" applyAlignment="1"/>
    <xf numFmtId="0" fontId="13" fillId="0" borderId="1" xfId="0" applyFont="1" applyBorder="1" applyAlignment="1"/>
    <xf numFmtId="0" fontId="13" fillId="0" borderId="21" xfId="0" applyFont="1" applyBorder="1" applyAlignment="1"/>
    <xf numFmtId="0" fontId="16" fillId="8" borderId="26" xfId="0" applyFont="1" applyFill="1"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3" fillId="0" borderId="1" xfId="0" applyFont="1" applyBorder="1" applyAlignment="1">
      <alignment vertical="center"/>
    </xf>
    <xf numFmtId="0" fontId="0" fillId="0" borderId="4" xfId="0" applyBorder="1" applyAlignment="1">
      <alignment wrapText="1"/>
    </xf>
    <xf numFmtId="0" fontId="0" fillId="0" borderId="5" xfId="0" applyBorder="1" applyAlignment="1">
      <alignment wrapText="1"/>
    </xf>
    <xf numFmtId="0" fontId="23" fillId="0" borderId="0" xfId="0" applyFont="1" applyAlignment="1">
      <alignment horizontal="center" vertical="center"/>
    </xf>
    <xf numFmtId="0" fontId="2" fillId="5" borderId="0" xfId="0" applyFont="1" applyFill="1" applyAlignment="1">
      <alignment horizontal="center"/>
    </xf>
    <xf numFmtId="0" fontId="7" fillId="0" borderId="0" xfId="0" applyFont="1" applyBorder="1" applyAlignment="1">
      <alignment horizontal="center"/>
    </xf>
    <xf numFmtId="0" fontId="6" fillId="0" borderId="0" xfId="0" applyFont="1" applyBorder="1" applyAlignment="1">
      <alignment horizontal="center"/>
    </xf>
    <xf numFmtId="0" fontId="8" fillId="0" borderId="0" xfId="0" quotePrefix="1" applyFont="1" applyFill="1" applyBorder="1" applyAlignment="1">
      <alignment horizontal="left" vertical="center" wrapText="1"/>
    </xf>
    <xf numFmtId="0" fontId="8" fillId="0" borderId="12" xfId="0" quotePrefix="1" applyFont="1" applyFill="1" applyBorder="1" applyAlignment="1">
      <alignment horizontal="left" vertical="center" wrapText="1"/>
    </xf>
  </cellXfs>
  <cellStyles count="6">
    <cellStyle name="Comma" xfId="1" builtinId="3"/>
    <cellStyle name="Comma 2" xfId="3"/>
    <cellStyle name="Comma 3" xfId="4"/>
    <cellStyle name="Normal" xfId="0" builtinId="0"/>
    <cellStyle name="Normal 2"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ncobela/AppData/Local/Microsoft/Windows/INetCache/Content.Outlook/5F8H1J9Y/COVID-19%20Summary%20FD%20DWS%20Submission%2023%2004%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WS 18 04 2020"/>
      <sheetName val=" DWS 17 04 2020  "/>
      <sheetName val="Graphs"/>
      <sheetName val="Summary"/>
      <sheetName val="Details per Province"/>
    </sheetNames>
    <sheetDataSet>
      <sheetData sheetId="0" refreshError="1">
        <row r="4">
          <cell r="E4">
            <v>5548</v>
          </cell>
          <cell r="F4">
            <v>82427832</v>
          </cell>
        </row>
        <row r="5">
          <cell r="E5">
            <v>3334</v>
          </cell>
          <cell r="F5">
            <v>17510168</v>
          </cell>
        </row>
        <row r="6">
          <cell r="E6">
            <v>3334</v>
          </cell>
          <cell r="F6">
            <v>20004000</v>
          </cell>
        </row>
        <row r="7">
          <cell r="E7">
            <v>347</v>
          </cell>
          <cell r="F7">
            <v>66535345.349999994</v>
          </cell>
        </row>
        <row r="8">
          <cell r="E8">
            <v>213002.79166666666</v>
          </cell>
          <cell r="F8">
            <v>25560335</v>
          </cell>
        </row>
        <row r="9">
          <cell r="E9">
            <v>135000</v>
          </cell>
          <cell r="F9">
            <v>2700000</v>
          </cell>
        </row>
        <row r="10">
          <cell r="E10">
            <v>13500</v>
          </cell>
          <cell r="F10">
            <v>10125000</v>
          </cell>
        </row>
        <row r="11">
          <cell r="F11">
            <v>2665513.0434782612</v>
          </cell>
        </row>
        <row r="13">
          <cell r="F13">
            <v>13982251.732043501</v>
          </cell>
        </row>
        <row r="14">
          <cell r="F14">
            <v>25040859.222304389</v>
          </cell>
        </row>
        <row r="15">
          <cell r="F15">
            <v>39982695.652173914</v>
          </cell>
        </row>
      </sheetData>
      <sheetData sheetId="1" refreshError="1"/>
      <sheetData sheetId="2" refreshError="1"/>
      <sheetData sheetId="3" refreshError="1"/>
      <sheetData sheetId="4" refreshError="1">
        <row r="149">
          <cell r="B149" t="str">
            <v>Tanks Supplied and Installed by Service Provider</v>
          </cell>
          <cell r="C149">
            <v>14857.215573179525</v>
          </cell>
        </row>
        <row r="151">
          <cell r="C151">
            <v>6000</v>
          </cell>
        </row>
        <row r="152">
          <cell r="C152">
            <v>0</v>
          </cell>
        </row>
        <row r="153">
          <cell r="B153" t="str">
            <v>Sanitizers that kill 99.9% of germs (for carrying to site and dispensers at all strategic locations</v>
          </cell>
          <cell r="C153">
            <v>120</v>
          </cell>
        </row>
        <row r="154">
          <cell r="B154" t="str">
            <v>Hand Soaps</v>
          </cell>
          <cell r="C154">
            <v>20</v>
          </cell>
        </row>
        <row r="155">
          <cell r="B155" t="str">
            <v>PPE</v>
          </cell>
          <cell r="C155">
            <v>750</v>
          </cell>
        </row>
        <row r="156">
          <cell r="B156" t="str">
            <v>Disbursements (travelling, accommodation, charge outs)</v>
          </cell>
          <cell r="D156">
            <v>0.01</v>
          </cell>
        </row>
        <row r="158">
          <cell r="B158" t="str">
            <v>Implementation Agent fee including project management fees</v>
          </cell>
        </row>
        <row r="160">
          <cell r="B160" t="str">
            <v>VAT @15%</v>
          </cell>
          <cell r="D160">
            <v>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view="pageBreakPreview" zoomScale="89" zoomScaleNormal="100" zoomScaleSheetLayoutView="89" workbookViewId="0">
      <pane xSplit="3" ySplit="3" topLeftCell="H52" activePane="bottomRight" state="frozen"/>
      <selection pane="topRight" activeCell="D1" sqref="D1"/>
      <selection pane="bottomLeft" activeCell="A4" sqref="A4"/>
      <selection pane="bottomRight" activeCell="A60" sqref="A60:N60"/>
    </sheetView>
  </sheetViews>
  <sheetFormatPr defaultRowHeight="15" x14ac:dyDescent="0.25"/>
  <cols>
    <col min="1" max="1" width="4.42578125" customWidth="1"/>
    <col min="2" max="3" width="15.85546875" customWidth="1"/>
    <col min="4" max="4" width="12.42578125" customWidth="1"/>
    <col min="5" max="5" width="14.140625" customWidth="1"/>
    <col min="6" max="6" width="25.5703125" customWidth="1"/>
    <col min="7" max="7" width="12.140625" customWidth="1"/>
    <col min="8" max="9" width="12.42578125" customWidth="1"/>
    <col min="10" max="10" width="13.5703125" customWidth="1"/>
    <col min="11" max="11" width="15.85546875" customWidth="1"/>
    <col min="12" max="12" width="12.42578125" customWidth="1"/>
    <col min="13" max="13" width="18.140625" customWidth="1"/>
    <col min="14" max="14" width="58.85546875" customWidth="1"/>
  </cols>
  <sheetData>
    <row r="1" spans="1:14" ht="18" x14ac:dyDescent="0.25">
      <c r="A1" s="347" t="s">
        <v>111</v>
      </c>
      <c r="B1" s="348"/>
      <c r="C1" s="348"/>
      <c r="D1" s="348"/>
      <c r="E1" s="348"/>
      <c r="F1" s="348"/>
      <c r="G1" s="348"/>
      <c r="H1" s="348"/>
      <c r="I1" s="348"/>
      <c r="J1" s="348"/>
      <c r="K1" s="348"/>
      <c r="L1" s="348"/>
      <c r="M1" s="348"/>
      <c r="N1" s="349"/>
    </row>
    <row r="2" spans="1:14" x14ac:dyDescent="0.25">
      <c r="A2" s="82"/>
      <c r="B2" s="83"/>
      <c r="C2" s="83"/>
      <c r="D2" s="83"/>
      <c r="E2" s="83"/>
      <c r="F2" s="83"/>
      <c r="G2" s="83"/>
      <c r="H2" s="83"/>
      <c r="I2" s="83"/>
      <c r="J2" s="83"/>
      <c r="K2" s="83"/>
      <c r="L2" s="83"/>
      <c r="M2" s="83"/>
      <c r="N2" s="84"/>
    </row>
    <row r="3" spans="1:14" ht="75" x14ac:dyDescent="0.25">
      <c r="A3" s="85" t="s">
        <v>112</v>
      </c>
      <c r="B3" s="86" t="s">
        <v>77</v>
      </c>
      <c r="C3" s="86" t="s">
        <v>113</v>
      </c>
      <c r="D3" s="86" t="s">
        <v>114</v>
      </c>
      <c r="E3" s="86" t="s">
        <v>115</v>
      </c>
      <c r="F3" s="86" t="s">
        <v>116</v>
      </c>
      <c r="G3" s="86" t="s">
        <v>117</v>
      </c>
      <c r="H3" s="86" t="s">
        <v>110</v>
      </c>
      <c r="I3" s="87" t="s">
        <v>118</v>
      </c>
      <c r="J3" s="87" t="s">
        <v>119</v>
      </c>
      <c r="K3" s="87" t="s">
        <v>120</v>
      </c>
      <c r="L3" s="87" t="s">
        <v>121</v>
      </c>
      <c r="M3" s="87" t="s">
        <v>122</v>
      </c>
      <c r="N3" s="88" t="s">
        <v>123</v>
      </c>
    </row>
    <row r="4" spans="1:14" ht="24.75" customHeight="1" x14ac:dyDescent="0.25">
      <c r="A4" s="271">
        <v>1</v>
      </c>
      <c r="B4" s="274" t="s">
        <v>79</v>
      </c>
      <c r="C4" s="287" t="s">
        <v>124</v>
      </c>
      <c r="D4" s="89">
        <v>504</v>
      </c>
      <c r="E4" s="2">
        <v>4500211013</v>
      </c>
      <c r="F4" s="2" t="s">
        <v>78</v>
      </c>
      <c r="G4" s="89">
        <v>410</v>
      </c>
      <c r="H4" s="89">
        <f>331+102</f>
        <v>433</v>
      </c>
      <c r="I4" s="89">
        <v>40</v>
      </c>
      <c r="J4" s="89">
        <v>21</v>
      </c>
      <c r="K4" s="89">
        <v>37</v>
      </c>
      <c r="L4" s="90">
        <v>0</v>
      </c>
      <c r="M4" s="91" t="s">
        <v>125</v>
      </c>
      <c r="N4" s="92"/>
    </row>
    <row r="5" spans="1:14" ht="23.25" customHeight="1" x14ac:dyDescent="0.25">
      <c r="A5" s="271"/>
      <c r="B5" s="274"/>
      <c r="C5" s="287"/>
      <c r="D5" s="2"/>
      <c r="E5" s="2">
        <v>4500211001</v>
      </c>
      <c r="F5" s="2" t="s">
        <v>80</v>
      </c>
      <c r="G5" s="89">
        <v>182</v>
      </c>
      <c r="H5" s="89">
        <v>182</v>
      </c>
      <c r="I5" s="89">
        <v>0</v>
      </c>
      <c r="J5" s="89">
        <v>0</v>
      </c>
      <c r="K5" s="89">
        <v>0</v>
      </c>
      <c r="L5" s="90">
        <f>G5-H5</f>
        <v>0</v>
      </c>
      <c r="M5" s="93" t="s">
        <v>125</v>
      </c>
      <c r="N5" s="92" t="s">
        <v>126</v>
      </c>
    </row>
    <row r="6" spans="1:14" x14ac:dyDescent="0.25">
      <c r="A6" s="271"/>
      <c r="B6" s="274"/>
      <c r="C6" s="94"/>
      <c r="D6" s="94"/>
      <c r="E6" s="94"/>
      <c r="F6" s="94"/>
      <c r="G6" s="94"/>
      <c r="H6" s="94"/>
      <c r="I6" s="94"/>
      <c r="J6" s="94"/>
      <c r="K6" s="95"/>
      <c r="L6" s="94"/>
      <c r="M6" s="94"/>
      <c r="N6" s="96"/>
    </row>
    <row r="7" spans="1:14" ht="29.25" x14ac:dyDescent="0.25">
      <c r="A7" s="271"/>
      <c r="B7" s="274"/>
      <c r="C7" s="97" t="s">
        <v>127</v>
      </c>
      <c r="D7" s="89">
        <v>18</v>
      </c>
      <c r="E7" s="98">
        <v>4500211025</v>
      </c>
      <c r="F7" s="2" t="s">
        <v>128</v>
      </c>
      <c r="G7" s="99">
        <v>18</v>
      </c>
      <c r="H7" s="89">
        <v>18</v>
      </c>
      <c r="I7" s="100" t="s">
        <v>129</v>
      </c>
      <c r="J7" s="100" t="s">
        <v>129</v>
      </c>
      <c r="K7" s="89">
        <v>15</v>
      </c>
      <c r="L7" s="89">
        <v>0</v>
      </c>
      <c r="M7" s="101" t="s">
        <v>125</v>
      </c>
      <c r="N7" s="92" t="s">
        <v>130</v>
      </c>
    </row>
    <row r="8" spans="1:14" ht="15" customHeight="1" x14ac:dyDescent="0.25">
      <c r="A8" s="272"/>
      <c r="B8" s="350" t="s">
        <v>131</v>
      </c>
      <c r="C8" s="277" t="s">
        <v>132</v>
      </c>
      <c r="D8" s="351"/>
      <c r="E8" s="351"/>
      <c r="F8" s="351"/>
      <c r="G8" s="351"/>
      <c r="H8" s="351"/>
      <c r="I8" s="351"/>
      <c r="J8" s="351"/>
      <c r="K8" s="351"/>
      <c r="L8" s="351"/>
      <c r="M8" s="351"/>
      <c r="N8" s="352"/>
    </row>
    <row r="9" spans="1:14" ht="14.25" customHeight="1" x14ac:dyDescent="0.25">
      <c r="A9" s="272"/>
      <c r="B9" s="350"/>
      <c r="C9" s="293" t="s">
        <v>133</v>
      </c>
      <c r="D9" s="269"/>
      <c r="E9" s="269"/>
      <c r="F9" s="269"/>
      <c r="G9" s="269"/>
      <c r="H9" s="269"/>
      <c r="I9" s="269"/>
      <c r="J9" s="269"/>
      <c r="K9" s="269"/>
      <c r="L9" s="269"/>
      <c r="M9" s="269"/>
      <c r="N9" s="269"/>
    </row>
    <row r="10" spans="1:14" x14ac:dyDescent="0.25">
      <c r="A10" s="272"/>
      <c r="B10" s="350"/>
      <c r="C10" s="293" t="s">
        <v>134</v>
      </c>
      <c r="D10" s="269"/>
      <c r="E10" s="269"/>
      <c r="F10" s="269"/>
      <c r="G10" s="269"/>
      <c r="H10" s="269"/>
      <c r="I10" s="269"/>
      <c r="J10" s="269"/>
      <c r="K10" s="269"/>
      <c r="L10" s="269"/>
      <c r="M10" s="269"/>
      <c r="N10" s="269"/>
    </row>
    <row r="11" spans="1:14" ht="15" customHeight="1" x14ac:dyDescent="0.25">
      <c r="A11" s="272"/>
      <c r="B11" s="350"/>
      <c r="C11" s="268" t="s">
        <v>135</v>
      </c>
      <c r="D11" s="268"/>
      <c r="E11" s="268"/>
      <c r="F11" s="269"/>
      <c r="G11" s="269"/>
      <c r="H11" s="269"/>
      <c r="I11" s="269"/>
      <c r="J11" s="269"/>
      <c r="K11" s="269"/>
      <c r="L11" s="269"/>
      <c r="M11" s="269"/>
      <c r="N11" s="269"/>
    </row>
    <row r="12" spans="1:14" x14ac:dyDescent="0.25">
      <c r="A12" s="102"/>
      <c r="B12" s="103"/>
      <c r="C12" s="103"/>
      <c r="D12" s="103"/>
      <c r="E12" s="103"/>
      <c r="F12" s="103"/>
      <c r="G12" s="103"/>
      <c r="H12" s="103"/>
      <c r="I12" s="103"/>
      <c r="J12" s="103"/>
      <c r="K12" s="104"/>
      <c r="L12" s="103"/>
      <c r="M12" s="103"/>
      <c r="N12" s="105"/>
    </row>
    <row r="13" spans="1:14" ht="75" x14ac:dyDescent="0.25">
      <c r="A13" s="85" t="s">
        <v>112</v>
      </c>
      <c r="B13" s="86" t="s">
        <v>77</v>
      </c>
      <c r="C13" s="86" t="s">
        <v>113</v>
      </c>
      <c r="D13" s="86" t="s">
        <v>114</v>
      </c>
      <c r="E13" s="86" t="s">
        <v>115</v>
      </c>
      <c r="F13" s="86" t="s">
        <v>116</v>
      </c>
      <c r="G13" s="86" t="s">
        <v>117</v>
      </c>
      <c r="H13" s="86" t="s">
        <v>110</v>
      </c>
      <c r="I13" s="87" t="s">
        <v>118</v>
      </c>
      <c r="J13" s="87" t="s">
        <v>119</v>
      </c>
      <c r="K13" s="87" t="s">
        <v>120</v>
      </c>
      <c r="L13" s="87" t="s">
        <v>121</v>
      </c>
      <c r="M13" s="87" t="s">
        <v>122</v>
      </c>
      <c r="N13" s="88" t="s">
        <v>123</v>
      </c>
    </row>
    <row r="14" spans="1:14" ht="31.5" customHeight="1" x14ac:dyDescent="0.25">
      <c r="A14" s="271">
        <v>2</v>
      </c>
      <c r="B14" s="274" t="s">
        <v>86</v>
      </c>
      <c r="C14" s="287" t="s">
        <v>124</v>
      </c>
      <c r="D14" s="89">
        <v>129</v>
      </c>
      <c r="E14" s="2">
        <v>4500211001</v>
      </c>
      <c r="F14" s="2" t="s">
        <v>80</v>
      </c>
      <c r="G14" s="89">
        <v>129</v>
      </c>
      <c r="H14" s="89">
        <v>129</v>
      </c>
      <c r="I14" s="89">
        <v>58</v>
      </c>
      <c r="J14" s="89">
        <v>0</v>
      </c>
      <c r="K14" s="89">
        <v>0</v>
      </c>
      <c r="L14" s="90">
        <f>G14-H14</f>
        <v>0</v>
      </c>
      <c r="M14" s="90" t="s">
        <v>136</v>
      </c>
      <c r="N14" s="106" t="s">
        <v>137</v>
      </c>
    </row>
    <row r="15" spans="1:14" x14ac:dyDescent="0.25">
      <c r="A15" s="271"/>
      <c r="B15" s="274"/>
      <c r="C15" s="287"/>
      <c r="D15" s="89"/>
      <c r="E15" s="2"/>
      <c r="F15" s="2"/>
      <c r="G15" s="89"/>
      <c r="H15" s="89"/>
      <c r="I15" s="89"/>
      <c r="J15" s="89"/>
      <c r="K15" s="89"/>
      <c r="L15" s="90"/>
      <c r="M15" s="90"/>
      <c r="N15" s="107" t="s">
        <v>138</v>
      </c>
    </row>
    <row r="16" spans="1:14" x14ac:dyDescent="0.25">
      <c r="A16" s="271"/>
      <c r="B16" s="274"/>
      <c r="C16" s="287"/>
      <c r="D16" s="2"/>
      <c r="E16" s="2"/>
      <c r="F16" s="2"/>
      <c r="G16" s="89"/>
      <c r="H16" s="89"/>
      <c r="I16" s="89"/>
      <c r="J16" s="89"/>
      <c r="K16" s="2"/>
      <c r="L16" s="90">
        <f>G16-H16</f>
        <v>0</v>
      </c>
      <c r="M16" s="90"/>
      <c r="N16" s="108"/>
    </row>
    <row r="17" spans="1:14" x14ac:dyDescent="0.25">
      <c r="A17" s="271"/>
      <c r="B17" s="274"/>
      <c r="C17" s="94"/>
      <c r="D17" s="94"/>
      <c r="E17" s="94"/>
      <c r="F17" s="94"/>
      <c r="G17" s="94"/>
      <c r="H17" s="94"/>
      <c r="I17" s="94"/>
      <c r="J17" s="94"/>
      <c r="K17" s="94"/>
      <c r="L17" s="94"/>
      <c r="M17" s="94"/>
      <c r="N17" s="96"/>
    </row>
    <row r="18" spans="1:14" x14ac:dyDescent="0.25">
      <c r="A18" s="271"/>
      <c r="B18" s="274"/>
      <c r="C18" s="97" t="s">
        <v>127</v>
      </c>
      <c r="D18" s="89">
        <v>0</v>
      </c>
      <c r="E18" s="98"/>
      <c r="F18" s="2"/>
      <c r="G18" s="99"/>
      <c r="H18" s="2"/>
      <c r="I18" s="100" t="s">
        <v>129</v>
      </c>
      <c r="J18" s="100" t="s">
        <v>129</v>
      </c>
      <c r="K18" s="2"/>
      <c r="L18" s="90"/>
      <c r="M18" s="90"/>
      <c r="N18" s="107" t="s">
        <v>139</v>
      </c>
    </row>
    <row r="19" spans="1:14" ht="15" customHeight="1" x14ac:dyDescent="0.25">
      <c r="A19" s="272"/>
      <c r="B19" s="274" t="s">
        <v>131</v>
      </c>
      <c r="C19" s="293" t="s">
        <v>140</v>
      </c>
      <c r="D19" s="269"/>
      <c r="E19" s="269"/>
      <c r="F19" s="269"/>
      <c r="G19" s="269"/>
      <c r="H19" s="269"/>
      <c r="I19" s="269"/>
      <c r="J19" s="269"/>
      <c r="K19" s="269"/>
      <c r="L19" s="269"/>
      <c r="M19" s="269"/>
      <c r="N19" s="270"/>
    </row>
    <row r="20" spans="1:14" x14ac:dyDescent="0.25">
      <c r="A20" s="272"/>
      <c r="B20" s="274"/>
      <c r="C20" s="344" t="s">
        <v>141</v>
      </c>
      <c r="D20" s="345"/>
      <c r="E20" s="345"/>
      <c r="F20" s="345"/>
      <c r="G20" s="345"/>
      <c r="H20" s="345"/>
      <c r="I20" s="345"/>
      <c r="J20" s="345"/>
      <c r="K20" s="345"/>
      <c r="L20" s="345"/>
      <c r="M20" s="345"/>
      <c r="N20" s="346"/>
    </row>
    <row r="21" spans="1:14" x14ac:dyDescent="0.25">
      <c r="A21" s="272"/>
      <c r="B21" s="274"/>
      <c r="C21" s="293" t="s">
        <v>142</v>
      </c>
      <c r="D21" s="269"/>
      <c r="E21" s="269"/>
      <c r="F21" s="269"/>
      <c r="G21" s="269"/>
      <c r="H21" s="269"/>
      <c r="I21" s="269"/>
      <c r="J21" s="269"/>
      <c r="K21" s="269"/>
      <c r="L21" s="269"/>
      <c r="M21" s="269"/>
      <c r="N21" s="270"/>
    </row>
    <row r="22" spans="1:14" x14ac:dyDescent="0.25">
      <c r="A22" s="272"/>
      <c r="B22" s="274"/>
      <c r="C22" s="268"/>
      <c r="D22" s="268"/>
      <c r="E22" s="268"/>
      <c r="F22" s="269"/>
      <c r="G22" s="269"/>
      <c r="H22" s="269"/>
      <c r="I22" s="269"/>
      <c r="J22" s="269"/>
      <c r="K22" s="269"/>
      <c r="L22" s="269"/>
      <c r="M22" s="269"/>
      <c r="N22" s="270"/>
    </row>
    <row r="23" spans="1:14" x14ac:dyDescent="0.25">
      <c r="A23" s="109"/>
      <c r="B23" s="110"/>
      <c r="C23" s="110"/>
      <c r="D23" s="110"/>
      <c r="E23" s="110"/>
      <c r="F23" s="110"/>
      <c r="G23" s="110"/>
      <c r="H23" s="110"/>
      <c r="I23" s="110"/>
      <c r="J23" s="110"/>
      <c r="K23" s="110"/>
      <c r="L23" s="110"/>
      <c r="M23" s="110"/>
      <c r="N23" s="111"/>
    </row>
    <row r="24" spans="1:14" ht="74.25" customHeight="1" x14ac:dyDescent="0.25">
      <c r="A24" s="85" t="s">
        <v>112</v>
      </c>
      <c r="B24" s="86" t="s">
        <v>77</v>
      </c>
      <c r="C24" s="86" t="s">
        <v>113</v>
      </c>
      <c r="D24" s="86" t="s">
        <v>114</v>
      </c>
      <c r="E24" s="86" t="s">
        <v>115</v>
      </c>
      <c r="F24" s="86" t="s">
        <v>116</v>
      </c>
      <c r="G24" s="112" t="str">
        <f>'23 April 2020'!J7</f>
        <v>N/A</v>
      </c>
      <c r="H24" s="86" t="s">
        <v>110</v>
      </c>
      <c r="I24" s="87" t="s">
        <v>118</v>
      </c>
      <c r="J24" s="87" t="s">
        <v>119</v>
      </c>
      <c r="K24" s="87" t="s">
        <v>120</v>
      </c>
      <c r="L24" s="87" t="s">
        <v>121</v>
      </c>
      <c r="M24" s="87" t="s">
        <v>122</v>
      </c>
      <c r="N24" s="88" t="s">
        <v>123</v>
      </c>
    </row>
    <row r="25" spans="1:14" ht="29.25" x14ac:dyDescent="0.25">
      <c r="A25" s="271">
        <v>3</v>
      </c>
      <c r="B25" s="274" t="s">
        <v>28</v>
      </c>
      <c r="C25" s="287" t="s">
        <v>124</v>
      </c>
      <c r="D25" s="300">
        <v>391</v>
      </c>
      <c r="E25" s="2">
        <v>4500211060</v>
      </c>
      <c r="F25" s="3" t="s">
        <v>143</v>
      </c>
      <c r="G25" s="89">
        <v>145</v>
      </c>
      <c r="H25" s="89">
        <v>55</v>
      </c>
      <c r="I25" s="300">
        <v>147</v>
      </c>
      <c r="J25" s="89">
        <v>0</v>
      </c>
      <c r="K25" s="89">
        <v>0</v>
      </c>
      <c r="L25" s="90">
        <f>G25-H25</f>
        <v>90</v>
      </c>
      <c r="M25" s="90" t="s">
        <v>144</v>
      </c>
      <c r="N25" s="113"/>
    </row>
    <row r="26" spans="1:14" x14ac:dyDescent="0.25">
      <c r="A26" s="271"/>
      <c r="B26" s="274"/>
      <c r="C26" s="287"/>
      <c r="D26" s="301"/>
      <c r="E26" s="2">
        <v>4500211001</v>
      </c>
      <c r="F26" s="2" t="s">
        <v>80</v>
      </c>
      <c r="G26" s="89">
        <v>201</v>
      </c>
      <c r="H26" s="89">
        <v>201</v>
      </c>
      <c r="I26" s="301"/>
      <c r="J26" s="89">
        <v>0</v>
      </c>
      <c r="K26" s="89">
        <v>0</v>
      </c>
      <c r="L26" s="90">
        <f>G26-H26</f>
        <v>0</v>
      </c>
      <c r="M26" s="90" t="s">
        <v>144</v>
      </c>
      <c r="N26" s="113"/>
    </row>
    <row r="27" spans="1:14" x14ac:dyDescent="0.25">
      <c r="A27" s="271"/>
      <c r="B27" s="274"/>
      <c r="C27" s="94"/>
      <c r="D27" s="94"/>
      <c r="E27" s="94"/>
      <c r="F27" s="94"/>
      <c r="G27" s="94"/>
      <c r="H27" s="94"/>
      <c r="I27" s="94"/>
      <c r="J27" s="94"/>
      <c r="K27" s="94"/>
      <c r="L27" s="94"/>
      <c r="M27" s="94"/>
      <c r="N27" s="96"/>
    </row>
    <row r="28" spans="1:14" x14ac:dyDescent="0.25">
      <c r="A28" s="271"/>
      <c r="B28" s="274"/>
      <c r="C28" s="302" t="s">
        <v>127</v>
      </c>
      <c r="D28" s="303">
        <v>30</v>
      </c>
      <c r="E28" s="98"/>
      <c r="F28" s="2" t="s">
        <v>145</v>
      </c>
      <c r="G28" s="89">
        <v>10</v>
      </c>
      <c r="H28" s="89">
        <v>10</v>
      </c>
      <c r="I28" s="100" t="s">
        <v>129</v>
      </c>
      <c r="J28" s="100" t="s">
        <v>129</v>
      </c>
      <c r="K28" s="114">
        <v>10</v>
      </c>
      <c r="L28" s="115">
        <f>G28-H28</f>
        <v>0</v>
      </c>
      <c r="M28" s="98" t="s">
        <v>146</v>
      </c>
      <c r="N28" s="116" t="s">
        <v>147</v>
      </c>
    </row>
    <row r="29" spans="1:14" x14ac:dyDescent="0.25">
      <c r="A29" s="271"/>
      <c r="B29" s="274"/>
      <c r="C29" s="288"/>
      <c r="D29" s="304"/>
      <c r="E29" s="98"/>
      <c r="F29" s="2" t="s">
        <v>148</v>
      </c>
      <c r="G29" s="89">
        <v>10</v>
      </c>
      <c r="H29" s="89">
        <v>10</v>
      </c>
      <c r="I29" s="100" t="s">
        <v>129</v>
      </c>
      <c r="J29" s="100" t="s">
        <v>129</v>
      </c>
      <c r="K29" s="114">
        <v>10</v>
      </c>
      <c r="L29" s="115">
        <f>G29-H29</f>
        <v>0</v>
      </c>
      <c r="M29" s="98" t="s">
        <v>146</v>
      </c>
      <c r="N29" s="116" t="s">
        <v>149</v>
      </c>
    </row>
    <row r="30" spans="1:14" x14ac:dyDescent="0.25">
      <c r="A30" s="271"/>
      <c r="B30" s="274"/>
      <c r="C30" s="289"/>
      <c r="D30" s="323"/>
      <c r="E30" s="98"/>
      <c r="F30" s="2" t="s">
        <v>150</v>
      </c>
      <c r="G30" s="89">
        <v>13</v>
      </c>
      <c r="H30" s="89">
        <v>13</v>
      </c>
      <c r="I30" s="100" t="s">
        <v>129</v>
      </c>
      <c r="J30" s="100" t="s">
        <v>129</v>
      </c>
      <c r="K30" s="117">
        <v>13</v>
      </c>
      <c r="L30" s="90">
        <f>G30-H30</f>
        <v>0</v>
      </c>
      <c r="M30" s="90"/>
      <c r="N30" s="107" t="s">
        <v>151</v>
      </c>
    </row>
    <row r="31" spans="1:14" ht="15" customHeight="1" x14ac:dyDescent="0.25">
      <c r="A31" s="272"/>
      <c r="B31" s="274" t="s">
        <v>131</v>
      </c>
      <c r="C31" s="277" t="s">
        <v>152</v>
      </c>
      <c r="D31" s="266"/>
      <c r="E31" s="266"/>
      <c r="F31" s="266"/>
      <c r="G31" s="266"/>
      <c r="H31" s="266"/>
      <c r="I31" s="266"/>
      <c r="J31" s="266"/>
      <c r="K31" s="266"/>
      <c r="L31" s="266"/>
      <c r="M31" s="266"/>
      <c r="N31" s="267"/>
    </row>
    <row r="32" spans="1:14" x14ac:dyDescent="0.25">
      <c r="A32" s="272"/>
      <c r="B32" s="274"/>
      <c r="C32" s="293" t="s">
        <v>153</v>
      </c>
      <c r="D32" s="269"/>
      <c r="E32" s="269"/>
      <c r="F32" s="269"/>
      <c r="G32" s="269"/>
      <c r="H32" s="269"/>
      <c r="I32" s="269"/>
      <c r="J32" s="269"/>
      <c r="K32" s="269"/>
      <c r="L32" s="269"/>
      <c r="M32" s="269"/>
      <c r="N32" s="270"/>
    </row>
    <row r="33" spans="1:14" x14ac:dyDescent="0.25">
      <c r="A33" s="272"/>
      <c r="B33" s="274"/>
      <c r="C33" s="268"/>
      <c r="D33" s="268"/>
      <c r="E33" s="268"/>
      <c r="F33" s="269"/>
      <c r="G33" s="269"/>
      <c r="H33" s="269"/>
      <c r="I33" s="269"/>
      <c r="J33" s="269"/>
      <c r="K33" s="269"/>
      <c r="L33" s="269"/>
      <c r="M33" s="269"/>
      <c r="N33" s="270"/>
    </row>
    <row r="34" spans="1:14" x14ac:dyDescent="0.25">
      <c r="A34" s="328"/>
      <c r="B34" s="329"/>
      <c r="C34" s="329"/>
      <c r="D34" s="329"/>
      <c r="E34" s="329"/>
      <c r="F34" s="329"/>
      <c r="G34" s="329"/>
      <c r="H34" s="329"/>
      <c r="I34" s="329"/>
      <c r="J34" s="329"/>
      <c r="K34" s="329"/>
      <c r="L34" s="329"/>
      <c r="M34" s="329"/>
      <c r="N34" s="330"/>
    </row>
    <row r="35" spans="1:14" ht="60" customHeight="1" x14ac:dyDescent="0.25">
      <c r="A35" s="85" t="s">
        <v>112</v>
      </c>
      <c r="B35" s="86" t="s">
        <v>77</v>
      </c>
      <c r="C35" s="86" t="s">
        <v>113</v>
      </c>
      <c r="D35" s="86" t="s">
        <v>114</v>
      </c>
      <c r="E35" s="86" t="s">
        <v>115</v>
      </c>
      <c r="F35" s="86" t="s">
        <v>116</v>
      </c>
      <c r="G35" s="86" t="s">
        <v>117</v>
      </c>
      <c r="H35" s="86" t="s">
        <v>110</v>
      </c>
      <c r="I35" s="87" t="s">
        <v>118</v>
      </c>
      <c r="J35" s="87" t="s">
        <v>119</v>
      </c>
      <c r="K35" s="87" t="s">
        <v>120</v>
      </c>
      <c r="L35" s="87" t="s">
        <v>121</v>
      </c>
      <c r="M35" s="87" t="s">
        <v>122</v>
      </c>
      <c r="N35" s="88" t="s">
        <v>123</v>
      </c>
    </row>
    <row r="36" spans="1:14" ht="15.75" customHeight="1" x14ac:dyDescent="0.25">
      <c r="A36" s="271">
        <v>4</v>
      </c>
      <c r="B36" s="274" t="s">
        <v>154</v>
      </c>
      <c r="C36" s="287" t="s">
        <v>124</v>
      </c>
      <c r="D36" s="319">
        <v>600</v>
      </c>
      <c r="E36" s="2">
        <v>4500211017</v>
      </c>
      <c r="F36" s="3" t="s">
        <v>155</v>
      </c>
      <c r="G36" s="319">
        <v>600</v>
      </c>
      <c r="H36" s="331">
        <v>733</v>
      </c>
      <c r="I36" s="305">
        <v>470</v>
      </c>
      <c r="J36" s="305">
        <v>3</v>
      </c>
      <c r="K36" s="319">
        <v>258</v>
      </c>
      <c r="L36" s="335">
        <v>0</v>
      </c>
      <c r="M36" s="338" t="s">
        <v>146</v>
      </c>
      <c r="N36" s="341" t="s">
        <v>156</v>
      </c>
    </row>
    <row r="37" spans="1:14" ht="17.25" customHeight="1" x14ac:dyDescent="0.25">
      <c r="A37" s="271"/>
      <c r="B37" s="274"/>
      <c r="C37" s="287"/>
      <c r="D37" s="320"/>
      <c r="E37" s="2">
        <v>4500211076</v>
      </c>
      <c r="F37" s="2" t="s">
        <v>157</v>
      </c>
      <c r="G37" s="320"/>
      <c r="H37" s="332"/>
      <c r="I37" s="334"/>
      <c r="J37" s="334"/>
      <c r="K37" s="320"/>
      <c r="L37" s="336"/>
      <c r="M37" s="339"/>
      <c r="N37" s="342"/>
    </row>
    <row r="38" spans="1:14" x14ac:dyDescent="0.25">
      <c r="A38" s="271"/>
      <c r="B38" s="274"/>
      <c r="C38" s="287"/>
      <c r="D38" s="321"/>
      <c r="E38" s="2">
        <v>4500211009</v>
      </c>
      <c r="F38" s="2" t="s">
        <v>83</v>
      </c>
      <c r="G38" s="321"/>
      <c r="H38" s="333"/>
      <c r="I38" s="306"/>
      <c r="J38" s="306"/>
      <c r="K38" s="321"/>
      <c r="L38" s="337"/>
      <c r="M38" s="340"/>
      <c r="N38" s="343"/>
    </row>
    <row r="39" spans="1:14" x14ac:dyDescent="0.25">
      <c r="A39" s="271"/>
      <c r="B39" s="274"/>
      <c r="C39" s="94"/>
      <c r="D39" s="94"/>
      <c r="E39" s="94"/>
      <c r="F39" s="94"/>
      <c r="G39" s="94"/>
      <c r="H39" s="94"/>
      <c r="I39" s="94"/>
      <c r="J39" s="94"/>
      <c r="K39" s="94"/>
      <c r="L39" s="94"/>
      <c r="M39" s="94"/>
      <c r="N39" s="118"/>
    </row>
    <row r="40" spans="1:14" ht="29.25" x14ac:dyDescent="0.25">
      <c r="A40" s="271"/>
      <c r="B40" s="274"/>
      <c r="C40" s="302" t="s">
        <v>127</v>
      </c>
      <c r="D40" s="303">
        <v>30</v>
      </c>
      <c r="E40" s="98">
        <v>4500210998</v>
      </c>
      <c r="F40" s="3" t="s">
        <v>158</v>
      </c>
      <c r="G40" s="300">
        <v>50</v>
      </c>
      <c r="H40" s="300">
        <v>50</v>
      </c>
      <c r="I40" s="319" t="s">
        <v>129</v>
      </c>
      <c r="J40" s="319" t="s">
        <v>129</v>
      </c>
      <c r="K40" s="305">
        <v>50</v>
      </c>
      <c r="L40" s="307">
        <f>G40-H40</f>
        <v>0</v>
      </c>
      <c r="M40" s="327" t="s">
        <v>146</v>
      </c>
      <c r="N40" s="314" t="s">
        <v>159</v>
      </c>
    </row>
    <row r="41" spans="1:14" x14ac:dyDescent="0.25">
      <c r="A41" s="271"/>
      <c r="B41" s="274"/>
      <c r="C41" s="288"/>
      <c r="D41" s="304"/>
      <c r="E41" s="2">
        <v>4500211021</v>
      </c>
      <c r="F41" s="2" t="s">
        <v>160</v>
      </c>
      <c r="G41" s="324"/>
      <c r="H41" s="324"/>
      <c r="I41" s="320"/>
      <c r="J41" s="320"/>
      <c r="K41" s="325"/>
      <c r="L41" s="324"/>
      <c r="M41" s="324"/>
      <c r="N41" s="315"/>
    </row>
    <row r="42" spans="1:14" x14ac:dyDescent="0.25">
      <c r="A42" s="271"/>
      <c r="B42" s="274"/>
      <c r="C42" s="289"/>
      <c r="D42" s="323"/>
      <c r="E42" s="2">
        <v>4500211086</v>
      </c>
      <c r="F42" s="2" t="s">
        <v>161</v>
      </c>
      <c r="G42" s="301"/>
      <c r="H42" s="301"/>
      <c r="I42" s="321"/>
      <c r="J42" s="321"/>
      <c r="K42" s="326"/>
      <c r="L42" s="301"/>
      <c r="M42" s="301"/>
      <c r="N42" s="316"/>
    </row>
    <row r="43" spans="1:14" ht="15" customHeight="1" x14ac:dyDescent="0.25">
      <c r="A43" s="272"/>
      <c r="B43" s="274" t="s">
        <v>131</v>
      </c>
      <c r="C43" s="281" t="s">
        <v>162</v>
      </c>
      <c r="D43" s="282"/>
      <c r="E43" s="282"/>
      <c r="F43" s="282"/>
      <c r="G43" s="282"/>
      <c r="H43" s="282"/>
      <c r="I43" s="282"/>
      <c r="J43" s="282"/>
      <c r="K43" s="282"/>
      <c r="L43" s="282"/>
      <c r="M43" s="282"/>
      <c r="N43" s="283"/>
    </row>
    <row r="44" spans="1:14" x14ac:dyDescent="0.25">
      <c r="A44" s="272"/>
      <c r="B44" s="274"/>
      <c r="C44" s="293" t="s">
        <v>163</v>
      </c>
      <c r="D44" s="269"/>
      <c r="E44" s="269"/>
      <c r="F44" s="269"/>
      <c r="G44" s="269"/>
      <c r="H44" s="269"/>
      <c r="I44" s="269"/>
      <c r="J44" s="269"/>
      <c r="K44" s="269"/>
      <c r="L44" s="269"/>
      <c r="M44" s="269"/>
      <c r="N44" s="269"/>
    </row>
    <row r="45" spans="1:14" x14ac:dyDescent="0.25">
      <c r="A45" s="272"/>
      <c r="B45" s="274"/>
      <c r="C45" s="312"/>
      <c r="D45" s="313"/>
      <c r="E45" s="313"/>
      <c r="F45" s="313"/>
      <c r="G45" s="313"/>
      <c r="H45" s="313"/>
      <c r="I45" s="313"/>
      <c r="J45" s="313"/>
      <c r="K45" s="313"/>
      <c r="L45" s="313"/>
      <c r="M45" s="313"/>
      <c r="N45" s="317"/>
    </row>
    <row r="46" spans="1:14" ht="15" customHeight="1" x14ac:dyDescent="0.25">
      <c r="A46" s="272"/>
      <c r="B46" s="274"/>
      <c r="C46" s="281"/>
      <c r="D46" s="282"/>
      <c r="E46" s="282"/>
      <c r="F46" s="282"/>
      <c r="G46" s="282"/>
      <c r="H46" s="282"/>
      <c r="I46" s="282"/>
      <c r="J46" s="282"/>
      <c r="K46" s="282"/>
      <c r="L46" s="282"/>
      <c r="M46" s="282"/>
      <c r="N46" s="318"/>
    </row>
    <row r="47" spans="1:14" x14ac:dyDescent="0.25">
      <c r="A47" s="119"/>
      <c r="B47" s="120"/>
      <c r="C47" s="120"/>
      <c r="D47" s="120"/>
      <c r="E47" s="120"/>
      <c r="F47" s="120"/>
      <c r="G47" s="120"/>
      <c r="H47" s="120"/>
      <c r="I47" s="120"/>
      <c r="J47" s="120"/>
      <c r="K47" s="120"/>
      <c r="L47" s="120"/>
      <c r="M47" s="120"/>
      <c r="N47" s="121"/>
    </row>
    <row r="48" spans="1:14" ht="75" x14ac:dyDescent="0.25">
      <c r="A48" s="85" t="s">
        <v>112</v>
      </c>
      <c r="B48" s="86" t="s">
        <v>77</v>
      </c>
      <c r="C48" s="86" t="s">
        <v>113</v>
      </c>
      <c r="D48" s="86" t="s">
        <v>114</v>
      </c>
      <c r="E48" s="86" t="s">
        <v>115</v>
      </c>
      <c r="F48" s="86" t="s">
        <v>116</v>
      </c>
      <c r="G48" s="86" t="s">
        <v>117</v>
      </c>
      <c r="H48" s="86" t="s">
        <v>110</v>
      </c>
      <c r="I48" s="87" t="s">
        <v>118</v>
      </c>
      <c r="J48" s="87" t="s">
        <v>119</v>
      </c>
      <c r="K48" s="87" t="s">
        <v>120</v>
      </c>
      <c r="L48" s="87" t="s">
        <v>121</v>
      </c>
      <c r="M48" s="87" t="s">
        <v>122</v>
      </c>
      <c r="N48" s="88" t="s">
        <v>123</v>
      </c>
    </row>
    <row r="49" spans="1:14" ht="72" customHeight="1" x14ac:dyDescent="0.25">
      <c r="A49" s="271">
        <v>5</v>
      </c>
      <c r="B49" s="274" t="s">
        <v>164</v>
      </c>
      <c r="C49" s="287" t="s">
        <v>124</v>
      </c>
      <c r="D49" s="319">
        <v>400</v>
      </c>
      <c r="E49" s="97">
        <v>4500211001</v>
      </c>
      <c r="F49" s="122" t="s">
        <v>80</v>
      </c>
      <c r="G49" s="123">
        <v>120</v>
      </c>
      <c r="H49" s="124">
        <v>120</v>
      </c>
      <c r="I49" s="125">
        <v>120</v>
      </c>
      <c r="J49" s="125">
        <v>0</v>
      </c>
      <c r="K49" s="126">
        <v>0</v>
      </c>
      <c r="L49" s="127">
        <f>G49-H49</f>
        <v>0</v>
      </c>
      <c r="M49" s="90" t="s">
        <v>136</v>
      </c>
      <c r="N49" s="3" t="s">
        <v>165</v>
      </c>
    </row>
    <row r="50" spans="1:14" ht="87" customHeight="1" x14ac:dyDescent="0.25">
      <c r="A50" s="271"/>
      <c r="B50" s="274"/>
      <c r="C50" s="287"/>
      <c r="D50" s="320"/>
      <c r="E50" s="97">
        <v>4500211019</v>
      </c>
      <c r="F50" s="122" t="s">
        <v>166</v>
      </c>
      <c r="G50" s="126">
        <v>180</v>
      </c>
      <c r="H50" s="124">
        <v>180</v>
      </c>
      <c r="I50" s="125">
        <v>180</v>
      </c>
      <c r="J50" s="125">
        <v>0</v>
      </c>
      <c r="K50" s="126">
        <v>0</v>
      </c>
      <c r="L50" s="127">
        <f>G50-H50</f>
        <v>0</v>
      </c>
      <c r="M50" s="90" t="s">
        <v>136</v>
      </c>
      <c r="N50" s="128" t="s">
        <v>167</v>
      </c>
    </row>
    <row r="51" spans="1:14" ht="84.75" customHeight="1" x14ac:dyDescent="0.25">
      <c r="A51" s="271"/>
      <c r="B51" s="274"/>
      <c r="C51" s="287"/>
      <c r="D51" s="321"/>
      <c r="E51" s="97">
        <v>4500211088</v>
      </c>
      <c r="F51" s="11" t="s">
        <v>168</v>
      </c>
      <c r="G51" s="126">
        <v>100</v>
      </c>
      <c r="H51" s="124">
        <v>100</v>
      </c>
      <c r="I51" s="125">
        <v>96</v>
      </c>
      <c r="J51" s="125">
        <v>0</v>
      </c>
      <c r="K51" s="126">
        <v>0</v>
      </c>
      <c r="L51" s="129">
        <f>G51-H51</f>
        <v>0</v>
      </c>
      <c r="M51" s="90" t="s">
        <v>136</v>
      </c>
      <c r="N51" s="130" t="s">
        <v>169</v>
      </c>
    </row>
    <row r="52" spans="1:14" x14ac:dyDescent="0.25">
      <c r="A52" s="271"/>
      <c r="B52" s="274"/>
      <c r="C52" s="94"/>
      <c r="D52" s="94"/>
      <c r="E52" s="94"/>
      <c r="F52" s="94"/>
      <c r="G52" s="94"/>
      <c r="H52" s="94"/>
      <c r="I52" s="94"/>
      <c r="J52" s="94"/>
      <c r="K52" s="94"/>
      <c r="L52" s="94"/>
      <c r="M52" s="94"/>
      <c r="N52" s="96"/>
    </row>
    <row r="53" spans="1:14" ht="59.25" customHeight="1" x14ac:dyDescent="0.25">
      <c r="A53" s="271"/>
      <c r="B53" s="274"/>
      <c r="C53" s="275" t="s">
        <v>127</v>
      </c>
      <c r="D53" s="131">
        <v>40</v>
      </c>
      <c r="E53" s="97">
        <v>4500210987</v>
      </c>
      <c r="F53" s="97" t="s">
        <v>170</v>
      </c>
      <c r="G53" s="126">
        <v>40</v>
      </c>
      <c r="H53" s="126">
        <v>40</v>
      </c>
      <c r="I53" s="126" t="s">
        <v>129</v>
      </c>
      <c r="J53" s="126" t="s">
        <v>129</v>
      </c>
      <c r="K53" s="126">
        <v>40</v>
      </c>
      <c r="L53" s="126">
        <f>G53-H53</f>
        <v>0</v>
      </c>
      <c r="M53" s="90" t="s">
        <v>136</v>
      </c>
      <c r="N53" s="132" t="s">
        <v>171</v>
      </c>
    </row>
    <row r="54" spans="1:14" ht="33" customHeight="1" x14ac:dyDescent="0.25">
      <c r="A54" s="271"/>
      <c r="B54" s="274"/>
      <c r="C54" s="275"/>
      <c r="D54" s="131">
        <v>8</v>
      </c>
      <c r="E54" s="97">
        <v>4500211079</v>
      </c>
      <c r="F54" s="97" t="s">
        <v>172</v>
      </c>
      <c r="G54" s="126">
        <v>8</v>
      </c>
      <c r="H54" s="126">
        <v>8</v>
      </c>
      <c r="I54" s="126" t="s">
        <v>129</v>
      </c>
      <c r="J54" s="126" t="s">
        <v>129</v>
      </c>
      <c r="K54" s="126">
        <v>8</v>
      </c>
      <c r="L54" s="126">
        <f>G54-H54</f>
        <v>0</v>
      </c>
      <c r="M54" s="90" t="s">
        <v>136</v>
      </c>
      <c r="N54" s="128" t="s">
        <v>173</v>
      </c>
    </row>
    <row r="55" spans="1:14" ht="46.5" customHeight="1" x14ac:dyDescent="0.25">
      <c r="A55" s="271"/>
      <c r="B55" s="274"/>
      <c r="C55" s="296"/>
      <c r="D55" s="131">
        <v>10</v>
      </c>
      <c r="E55" s="133">
        <v>4500211021</v>
      </c>
      <c r="F55" s="133" t="s">
        <v>174</v>
      </c>
      <c r="G55" s="134">
        <v>10</v>
      </c>
      <c r="H55" s="134">
        <v>0</v>
      </c>
      <c r="I55" s="134" t="s">
        <v>129</v>
      </c>
      <c r="J55" s="134" t="s">
        <v>129</v>
      </c>
      <c r="K55" s="134">
        <v>0</v>
      </c>
      <c r="L55" s="134">
        <v>0</v>
      </c>
      <c r="M55" s="134" t="s">
        <v>175</v>
      </c>
      <c r="N55" s="135" t="s">
        <v>176</v>
      </c>
    </row>
    <row r="56" spans="1:14" ht="15" customHeight="1" x14ac:dyDescent="0.25">
      <c r="A56" s="272"/>
      <c r="B56" s="274" t="s">
        <v>131</v>
      </c>
      <c r="C56" s="277" t="s">
        <v>177</v>
      </c>
      <c r="D56" s="266"/>
      <c r="E56" s="266"/>
      <c r="F56" s="266"/>
      <c r="G56" s="266"/>
      <c r="H56" s="266"/>
      <c r="I56" s="266"/>
      <c r="J56" s="266"/>
      <c r="K56" s="266"/>
      <c r="L56" s="266"/>
      <c r="M56" s="266"/>
      <c r="N56" s="322"/>
    </row>
    <row r="57" spans="1:14" x14ac:dyDescent="0.25">
      <c r="A57" s="272"/>
      <c r="B57" s="274"/>
      <c r="C57" s="312" t="s">
        <v>178</v>
      </c>
      <c r="D57" s="313"/>
      <c r="E57" s="313"/>
      <c r="F57" s="313"/>
      <c r="G57" s="313"/>
      <c r="H57" s="313"/>
      <c r="I57" s="313"/>
      <c r="J57" s="313"/>
      <c r="K57" s="313"/>
      <c r="L57" s="313"/>
      <c r="M57" s="313"/>
      <c r="N57" s="317"/>
    </row>
    <row r="58" spans="1:14" ht="15" customHeight="1" x14ac:dyDescent="0.25">
      <c r="A58" s="272"/>
      <c r="B58" s="274"/>
      <c r="C58" s="268" t="s">
        <v>179</v>
      </c>
      <c r="D58" s="268"/>
      <c r="E58" s="268"/>
      <c r="F58" s="269"/>
      <c r="G58" s="269"/>
      <c r="H58" s="269"/>
      <c r="I58" s="269"/>
      <c r="J58" s="269"/>
      <c r="K58" s="269"/>
      <c r="L58" s="269"/>
      <c r="M58" s="269"/>
      <c r="N58" s="269"/>
    </row>
    <row r="59" spans="1:14" ht="15" customHeight="1" x14ac:dyDescent="0.25">
      <c r="A59" s="272"/>
      <c r="B59" s="274"/>
      <c r="C59" s="268" t="s">
        <v>180</v>
      </c>
      <c r="D59" s="268"/>
      <c r="E59" s="268"/>
      <c r="F59" s="269"/>
      <c r="G59" s="269"/>
      <c r="H59" s="269"/>
      <c r="I59" s="269"/>
      <c r="J59" s="269"/>
      <c r="K59" s="269"/>
      <c r="L59" s="269"/>
      <c r="M59" s="269"/>
      <c r="N59" s="269"/>
    </row>
    <row r="60" spans="1:14" x14ac:dyDescent="0.25">
      <c r="A60" s="297"/>
      <c r="B60" s="298"/>
      <c r="C60" s="298"/>
      <c r="D60" s="298"/>
      <c r="E60" s="298"/>
      <c r="F60" s="298"/>
      <c r="G60" s="298"/>
      <c r="H60" s="298"/>
      <c r="I60" s="298"/>
      <c r="J60" s="298"/>
      <c r="K60" s="298"/>
      <c r="L60" s="298"/>
      <c r="M60" s="298"/>
      <c r="N60" s="299"/>
    </row>
    <row r="61" spans="1:14" ht="75" x14ac:dyDescent="0.25">
      <c r="A61" s="85" t="s">
        <v>112</v>
      </c>
      <c r="B61" s="86" t="s">
        <v>77</v>
      </c>
      <c r="C61" s="86" t="s">
        <v>113</v>
      </c>
      <c r="D61" s="86" t="s">
        <v>114</v>
      </c>
      <c r="E61" s="86" t="s">
        <v>115</v>
      </c>
      <c r="F61" s="86" t="s">
        <v>116</v>
      </c>
      <c r="G61" s="86" t="s">
        <v>117</v>
      </c>
      <c r="H61" s="86" t="s">
        <v>110</v>
      </c>
      <c r="I61" s="87" t="s">
        <v>118</v>
      </c>
      <c r="J61" s="87" t="s">
        <v>119</v>
      </c>
      <c r="K61" s="87" t="s">
        <v>120</v>
      </c>
      <c r="L61" s="87" t="s">
        <v>121</v>
      </c>
      <c r="M61" s="87" t="s">
        <v>122</v>
      </c>
      <c r="N61" s="88" t="s">
        <v>123</v>
      </c>
    </row>
    <row r="62" spans="1:14" ht="33" customHeight="1" x14ac:dyDescent="0.25">
      <c r="A62" s="271">
        <v>6</v>
      </c>
      <c r="B62" s="274" t="s">
        <v>181</v>
      </c>
      <c r="C62" s="287" t="s">
        <v>124</v>
      </c>
      <c r="D62" s="300">
        <v>625</v>
      </c>
      <c r="E62" s="136">
        <v>4500211001</v>
      </c>
      <c r="F62" s="136" t="s">
        <v>182</v>
      </c>
      <c r="G62" s="137">
        <v>635</v>
      </c>
      <c r="H62" s="126">
        <v>440</v>
      </c>
      <c r="I62" s="126">
        <v>0</v>
      </c>
      <c r="J62" s="126">
        <v>190</v>
      </c>
      <c r="K62" s="137">
        <v>218</v>
      </c>
      <c r="L62" s="138">
        <f>G62-H62</f>
        <v>195</v>
      </c>
      <c r="M62" s="139">
        <v>43945</v>
      </c>
      <c r="N62" s="113" t="s">
        <v>183</v>
      </c>
    </row>
    <row r="63" spans="1:14" ht="15" hidden="1" customHeight="1" x14ac:dyDescent="0.25">
      <c r="A63" s="271"/>
      <c r="B63" s="274"/>
      <c r="C63" s="287"/>
      <c r="D63" s="301"/>
      <c r="E63" s="2"/>
      <c r="F63" s="2"/>
      <c r="G63" s="89"/>
      <c r="H63" s="100"/>
      <c r="I63" s="100"/>
      <c r="J63" s="100"/>
      <c r="K63" s="89"/>
      <c r="L63" s="90"/>
      <c r="M63" s="90"/>
      <c r="N63" s="108"/>
    </row>
    <row r="64" spans="1:14" x14ac:dyDescent="0.25">
      <c r="A64" s="271"/>
      <c r="B64" s="274"/>
      <c r="C64" s="94"/>
      <c r="D64" s="94"/>
      <c r="E64" s="94"/>
      <c r="F64" s="94"/>
      <c r="G64" s="94"/>
      <c r="H64" s="94"/>
      <c r="I64" s="94"/>
      <c r="J64" s="94"/>
      <c r="K64" s="94"/>
      <c r="L64" s="94"/>
      <c r="M64" s="94"/>
      <c r="N64" s="96"/>
    </row>
    <row r="65" spans="1:14" ht="15" customHeight="1" x14ac:dyDescent="0.25">
      <c r="A65" s="271"/>
      <c r="B65" s="274"/>
      <c r="C65" s="302" t="s">
        <v>127</v>
      </c>
      <c r="D65" s="303">
        <v>34</v>
      </c>
      <c r="E65" s="2">
        <v>4500211021</v>
      </c>
      <c r="F65" s="2" t="s">
        <v>160</v>
      </c>
      <c r="G65" s="300">
        <v>34</v>
      </c>
      <c r="H65" s="300">
        <v>34</v>
      </c>
      <c r="I65" s="300" t="s">
        <v>129</v>
      </c>
      <c r="J65" s="300" t="s">
        <v>129</v>
      </c>
      <c r="K65" s="305">
        <v>34</v>
      </c>
      <c r="L65" s="307">
        <v>0</v>
      </c>
      <c r="M65" s="308"/>
      <c r="N65" s="310" t="s">
        <v>184</v>
      </c>
    </row>
    <row r="66" spans="1:14" ht="22.5" customHeight="1" x14ac:dyDescent="0.25">
      <c r="A66" s="271"/>
      <c r="B66" s="274"/>
      <c r="C66" s="288"/>
      <c r="D66" s="304"/>
      <c r="E66" s="98">
        <v>4500210998</v>
      </c>
      <c r="F66" s="3" t="s">
        <v>185</v>
      </c>
      <c r="G66" s="301"/>
      <c r="H66" s="301"/>
      <c r="I66" s="301"/>
      <c r="J66" s="301"/>
      <c r="K66" s="306"/>
      <c r="L66" s="301"/>
      <c r="M66" s="309"/>
      <c r="N66" s="311"/>
    </row>
    <row r="67" spans="1:14" ht="15" customHeight="1" x14ac:dyDescent="0.25">
      <c r="A67" s="272"/>
      <c r="B67" s="274" t="s">
        <v>131</v>
      </c>
      <c r="C67" s="277" t="s">
        <v>186</v>
      </c>
      <c r="D67" s="266"/>
      <c r="E67" s="266"/>
      <c r="F67" s="266"/>
      <c r="G67" s="266"/>
      <c r="H67" s="266"/>
      <c r="I67" s="266"/>
      <c r="J67" s="266"/>
      <c r="K67" s="266"/>
      <c r="L67" s="266"/>
      <c r="M67" s="266"/>
      <c r="N67" s="267"/>
    </row>
    <row r="68" spans="1:14" ht="15" customHeight="1" x14ac:dyDescent="0.25">
      <c r="A68" s="272"/>
      <c r="B68" s="274"/>
      <c r="C68" s="277" t="s">
        <v>187</v>
      </c>
      <c r="D68" s="266"/>
      <c r="E68" s="266"/>
      <c r="F68" s="266"/>
      <c r="G68" s="266"/>
      <c r="H68" s="266"/>
      <c r="I68" s="266"/>
      <c r="J68" s="266"/>
      <c r="K68" s="266"/>
      <c r="L68" s="266"/>
      <c r="M68" s="266"/>
      <c r="N68" s="267"/>
    </row>
    <row r="69" spans="1:14" x14ac:dyDescent="0.25">
      <c r="A69" s="272"/>
      <c r="B69" s="274"/>
      <c r="C69" s="312"/>
      <c r="D69" s="313"/>
      <c r="E69" s="313"/>
      <c r="F69" s="313"/>
      <c r="G69" s="313"/>
      <c r="H69" s="313"/>
      <c r="I69" s="313"/>
      <c r="J69" s="313"/>
      <c r="K69" s="313"/>
      <c r="L69" s="313"/>
      <c r="M69" s="313"/>
      <c r="N69" s="267"/>
    </row>
    <row r="70" spans="1:14" ht="15" customHeight="1" x14ac:dyDescent="0.25">
      <c r="A70" s="272"/>
      <c r="B70" s="274"/>
      <c r="C70" s="268"/>
      <c r="D70" s="268"/>
      <c r="E70" s="268"/>
      <c r="F70" s="269"/>
      <c r="G70" s="269"/>
      <c r="H70" s="269"/>
      <c r="I70" s="269"/>
      <c r="J70" s="269"/>
      <c r="K70" s="269"/>
      <c r="L70" s="269"/>
      <c r="M70" s="269"/>
      <c r="N70" s="270"/>
    </row>
    <row r="71" spans="1:14" ht="15" customHeight="1" x14ac:dyDescent="0.25">
      <c r="A71" s="272"/>
      <c r="B71" s="274"/>
      <c r="C71" s="268"/>
      <c r="D71" s="268"/>
      <c r="E71" s="268"/>
      <c r="F71" s="269"/>
      <c r="G71" s="269"/>
      <c r="H71" s="269"/>
      <c r="I71" s="269"/>
      <c r="J71" s="269"/>
      <c r="K71" s="269"/>
      <c r="L71" s="269"/>
      <c r="M71" s="269"/>
      <c r="N71" s="270"/>
    </row>
    <row r="72" spans="1:14" x14ac:dyDescent="0.25">
      <c r="A72" s="140"/>
      <c r="B72" s="294"/>
      <c r="C72" s="294"/>
      <c r="D72" s="294"/>
      <c r="E72" s="294"/>
      <c r="F72" s="294"/>
      <c r="G72" s="294"/>
      <c r="H72" s="294"/>
      <c r="I72" s="294"/>
      <c r="J72" s="294"/>
      <c r="K72" s="294"/>
      <c r="L72" s="294"/>
      <c r="M72" s="294"/>
      <c r="N72" s="295"/>
    </row>
    <row r="73" spans="1:14" ht="75" x14ac:dyDescent="0.25">
      <c r="A73" s="85" t="s">
        <v>112</v>
      </c>
      <c r="B73" s="86" t="s">
        <v>77</v>
      </c>
      <c r="C73" s="86" t="s">
        <v>113</v>
      </c>
      <c r="D73" s="86" t="s">
        <v>114</v>
      </c>
      <c r="E73" s="86" t="s">
        <v>115</v>
      </c>
      <c r="F73" s="86" t="s">
        <v>116</v>
      </c>
      <c r="G73" s="86" t="s">
        <v>117</v>
      </c>
      <c r="H73" s="86" t="s">
        <v>110</v>
      </c>
      <c r="I73" s="87" t="s">
        <v>118</v>
      </c>
      <c r="J73" s="87" t="s">
        <v>119</v>
      </c>
      <c r="K73" s="87" t="s">
        <v>120</v>
      </c>
      <c r="L73" s="87" t="s">
        <v>121</v>
      </c>
      <c r="M73" s="87" t="s">
        <v>122</v>
      </c>
      <c r="N73" s="88" t="s">
        <v>123</v>
      </c>
    </row>
    <row r="74" spans="1:14" x14ac:dyDescent="0.25">
      <c r="A74" s="271">
        <v>7</v>
      </c>
      <c r="B74" s="274" t="s">
        <v>81</v>
      </c>
      <c r="C74" s="287" t="s">
        <v>124</v>
      </c>
      <c r="D74" s="89">
        <v>412</v>
      </c>
      <c r="E74" s="2">
        <v>4500211001</v>
      </c>
      <c r="F74" s="2" t="s">
        <v>80</v>
      </c>
      <c r="G74" s="141">
        <v>406</v>
      </c>
      <c r="H74" s="141">
        <v>406</v>
      </c>
      <c r="I74" s="141">
        <v>169</v>
      </c>
      <c r="J74" s="141"/>
      <c r="K74" s="126">
        <v>15</v>
      </c>
      <c r="L74" s="126">
        <f>G74-H74</f>
        <v>0</v>
      </c>
      <c r="M74" s="90" t="s">
        <v>136</v>
      </c>
      <c r="N74" s="92" t="s">
        <v>188</v>
      </c>
    </row>
    <row r="75" spans="1:14" x14ac:dyDescent="0.25">
      <c r="A75" s="271"/>
      <c r="B75" s="274"/>
      <c r="C75" s="287"/>
      <c r="D75" s="89">
        <v>240</v>
      </c>
      <c r="E75" s="2">
        <v>4500211010</v>
      </c>
      <c r="F75" s="2" t="s">
        <v>85</v>
      </c>
      <c r="G75" s="141">
        <v>57</v>
      </c>
      <c r="H75" s="141">
        <v>57</v>
      </c>
      <c r="I75" s="141"/>
      <c r="J75" s="141">
        <f>H75-K75</f>
        <v>36</v>
      </c>
      <c r="K75" s="126">
        <v>21</v>
      </c>
      <c r="L75" s="126">
        <f t="shared" ref="L75:L81" si="0">G75-H75</f>
        <v>0</v>
      </c>
      <c r="M75" s="90" t="s">
        <v>136</v>
      </c>
      <c r="N75" s="92" t="s">
        <v>189</v>
      </c>
    </row>
    <row r="76" spans="1:14" ht="43.5" x14ac:dyDescent="0.25">
      <c r="A76" s="271"/>
      <c r="B76" s="274"/>
      <c r="C76" s="287"/>
      <c r="D76" s="89">
        <v>60</v>
      </c>
      <c r="E76" s="2">
        <v>4500211026</v>
      </c>
      <c r="F76" s="2" t="s">
        <v>190</v>
      </c>
      <c r="G76" s="141">
        <v>60</v>
      </c>
      <c r="H76" s="141">
        <v>60</v>
      </c>
      <c r="I76" s="141"/>
      <c r="J76" s="141">
        <f>H76-K76</f>
        <v>20</v>
      </c>
      <c r="K76" s="126">
        <v>40</v>
      </c>
      <c r="L76" s="126">
        <f t="shared" si="0"/>
        <v>0</v>
      </c>
      <c r="M76" s="90" t="s">
        <v>136</v>
      </c>
      <c r="N76" s="92" t="s">
        <v>191</v>
      </c>
    </row>
    <row r="77" spans="1:14" ht="57.75" x14ac:dyDescent="0.25">
      <c r="A77" s="271"/>
      <c r="B77" s="274"/>
      <c r="C77" s="287"/>
      <c r="D77" s="89">
        <v>3200</v>
      </c>
      <c r="E77" s="2">
        <v>4500210999</v>
      </c>
      <c r="F77" s="2" t="s">
        <v>192</v>
      </c>
      <c r="G77" s="141">
        <v>3034</v>
      </c>
      <c r="H77" s="141">
        <v>1284</v>
      </c>
      <c r="I77" s="141">
        <v>383</v>
      </c>
      <c r="J77" s="141">
        <f>H77-K77</f>
        <v>998</v>
      </c>
      <c r="K77" s="126">
        <v>286</v>
      </c>
      <c r="L77" s="126">
        <f t="shared" si="0"/>
        <v>1750</v>
      </c>
      <c r="M77" s="90"/>
      <c r="N77" s="92" t="s">
        <v>193</v>
      </c>
    </row>
    <row r="78" spans="1:14" x14ac:dyDescent="0.25">
      <c r="A78" s="271"/>
      <c r="B78" s="274"/>
      <c r="C78" s="287"/>
      <c r="D78" s="89">
        <v>20</v>
      </c>
      <c r="E78" s="2">
        <v>4500211016</v>
      </c>
      <c r="F78" s="2" t="s">
        <v>194</v>
      </c>
      <c r="G78" s="141">
        <v>20</v>
      </c>
      <c r="H78" s="141">
        <v>20</v>
      </c>
      <c r="I78" s="141"/>
      <c r="J78" s="141"/>
      <c r="K78" s="126">
        <v>20</v>
      </c>
      <c r="L78" s="126">
        <f t="shared" si="0"/>
        <v>0</v>
      </c>
      <c r="M78" s="90" t="s">
        <v>136</v>
      </c>
      <c r="N78" s="92" t="s">
        <v>195</v>
      </c>
    </row>
    <row r="79" spans="1:14" x14ac:dyDescent="0.25">
      <c r="A79" s="271"/>
      <c r="B79" s="274"/>
      <c r="C79" s="287"/>
      <c r="D79" s="99">
        <v>500</v>
      </c>
      <c r="E79" s="2">
        <v>4500211112</v>
      </c>
      <c r="F79" s="2" t="s">
        <v>196</v>
      </c>
      <c r="G79" s="141">
        <v>500</v>
      </c>
      <c r="H79" s="141"/>
      <c r="I79" s="141"/>
      <c r="J79" s="141"/>
      <c r="K79" s="126"/>
      <c r="L79" s="126">
        <f t="shared" si="0"/>
        <v>500</v>
      </c>
      <c r="M79" s="90"/>
      <c r="N79" s="92" t="s">
        <v>197</v>
      </c>
    </row>
    <row r="80" spans="1:14" x14ac:dyDescent="0.25">
      <c r="A80" s="271"/>
      <c r="B80" s="274"/>
      <c r="C80" s="287"/>
      <c r="D80" s="99">
        <v>200</v>
      </c>
      <c r="E80" s="2">
        <v>4500211078</v>
      </c>
      <c r="F80" s="2" t="s">
        <v>198</v>
      </c>
      <c r="G80" s="141">
        <v>200</v>
      </c>
      <c r="H80" s="141"/>
      <c r="I80" s="141"/>
      <c r="J80" s="141"/>
      <c r="K80" s="126"/>
      <c r="L80" s="126">
        <f t="shared" si="0"/>
        <v>200</v>
      </c>
      <c r="M80" s="90" t="s">
        <v>199</v>
      </c>
      <c r="N80" s="92" t="s">
        <v>200</v>
      </c>
    </row>
    <row r="81" spans="1:14" ht="29.25" x14ac:dyDescent="0.25">
      <c r="A81" s="271"/>
      <c r="B81" s="274"/>
      <c r="C81" s="287"/>
      <c r="D81" s="99">
        <v>200</v>
      </c>
      <c r="E81" s="2">
        <v>4500211088</v>
      </c>
      <c r="F81" s="2" t="s">
        <v>201</v>
      </c>
      <c r="G81" s="141">
        <v>100</v>
      </c>
      <c r="H81" s="141"/>
      <c r="I81" s="141"/>
      <c r="J81" s="141"/>
      <c r="K81" s="126"/>
      <c r="L81" s="142">
        <f t="shared" si="0"/>
        <v>100</v>
      </c>
      <c r="M81" s="90"/>
      <c r="N81" s="92" t="s">
        <v>202</v>
      </c>
    </row>
    <row r="82" spans="1:14" x14ac:dyDescent="0.25">
      <c r="A82" s="271"/>
      <c r="B82" s="274"/>
      <c r="C82" s="94"/>
      <c r="D82" s="94"/>
      <c r="E82" s="94"/>
      <c r="F82" s="94"/>
      <c r="G82" s="94"/>
      <c r="H82" s="94"/>
      <c r="I82" s="94"/>
      <c r="J82" s="94"/>
      <c r="K82" s="94"/>
      <c r="L82" s="94"/>
      <c r="M82" s="94"/>
      <c r="N82" s="96"/>
    </row>
    <row r="83" spans="1:14" ht="29.25" x14ac:dyDescent="0.25">
      <c r="A83" s="271"/>
      <c r="B83" s="274"/>
      <c r="C83" s="275" t="s">
        <v>127</v>
      </c>
      <c r="D83" s="99">
        <v>10</v>
      </c>
      <c r="E83" s="2">
        <v>4500211080</v>
      </c>
      <c r="F83" s="2" t="s">
        <v>203</v>
      </c>
      <c r="G83" s="99">
        <v>10</v>
      </c>
      <c r="H83" s="99">
        <v>5</v>
      </c>
      <c r="I83" s="123" t="s">
        <v>129</v>
      </c>
      <c r="J83" s="123" t="s">
        <v>129</v>
      </c>
      <c r="K83" s="126">
        <v>5</v>
      </c>
      <c r="L83" s="126">
        <f>G83-H83</f>
        <v>5</v>
      </c>
      <c r="M83" s="90" t="s">
        <v>136</v>
      </c>
      <c r="N83" s="92" t="s">
        <v>204</v>
      </c>
    </row>
    <row r="84" spans="1:14" x14ac:dyDescent="0.25">
      <c r="A84" s="271"/>
      <c r="B84" s="274"/>
      <c r="C84" s="275"/>
      <c r="D84" s="99">
        <v>2</v>
      </c>
      <c r="E84" s="2">
        <v>4500211025</v>
      </c>
      <c r="F84" s="2" t="s">
        <v>205</v>
      </c>
      <c r="G84" s="99">
        <v>2</v>
      </c>
      <c r="H84" s="123">
        <v>2</v>
      </c>
      <c r="I84" s="123" t="s">
        <v>129</v>
      </c>
      <c r="J84" s="123" t="s">
        <v>129</v>
      </c>
      <c r="K84" s="126">
        <v>2</v>
      </c>
      <c r="L84" s="126">
        <f>A84-B84</f>
        <v>0</v>
      </c>
      <c r="M84" s="90" t="s">
        <v>136</v>
      </c>
      <c r="N84" s="92"/>
    </row>
    <row r="85" spans="1:14" x14ac:dyDescent="0.25">
      <c r="A85" s="271"/>
      <c r="B85" s="274"/>
      <c r="C85" s="296"/>
      <c r="D85" s="100">
        <v>30</v>
      </c>
      <c r="E85" s="2">
        <v>4500210987</v>
      </c>
      <c r="F85" s="2" t="s">
        <v>206</v>
      </c>
      <c r="G85" s="100">
        <v>30</v>
      </c>
      <c r="H85" s="123">
        <v>30</v>
      </c>
      <c r="I85" s="123" t="s">
        <v>129</v>
      </c>
      <c r="J85" s="123" t="s">
        <v>129</v>
      </c>
      <c r="K85" s="126">
        <v>30</v>
      </c>
      <c r="L85" s="126">
        <f>A85-B85</f>
        <v>0</v>
      </c>
      <c r="M85" s="90" t="s">
        <v>136</v>
      </c>
      <c r="N85" s="143"/>
    </row>
    <row r="86" spans="1:14" ht="15" customHeight="1" x14ac:dyDescent="0.25">
      <c r="A86" s="272"/>
      <c r="B86" s="274" t="s">
        <v>131</v>
      </c>
      <c r="C86" s="281" t="s">
        <v>207</v>
      </c>
      <c r="D86" s="282"/>
      <c r="E86" s="282"/>
      <c r="F86" s="282"/>
      <c r="G86" s="282"/>
      <c r="H86" s="282"/>
      <c r="I86" s="282"/>
      <c r="J86" s="282"/>
      <c r="K86" s="282"/>
      <c r="L86" s="282"/>
      <c r="M86" s="282"/>
      <c r="N86" s="283"/>
    </row>
    <row r="87" spans="1:14" ht="15" customHeight="1" x14ac:dyDescent="0.25">
      <c r="A87" s="272"/>
      <c r="B87" s="274"/>
      <c r="C87" s="281" t="s">
        <v>208</v>
      </c>
      <c r="D87" s="282"/>
      <c r="E87" s="282"/>
      <c r="F87" s="282"/>
      <c r="G87" s="282"/>
      <c r="H87" s="282"/>
      <c r="I87" s="282"/>
      <c r="J87" s="282"/>
      <c r="K87" s="282"/>
      <c r="L87" s="282"/>
      <c r="M87" s="282"/>
      <c r="N87" s="283"/>
    </row>
    <row r="88" spans="1:14" ht="15" customHeight="1" x14ac:dyDescent="0.25">
      <c r="A88" s="272"/>
      <c r="B88" s="274"/>
      <c r="C88" s="281" t="s">
        <v>209</v>
      </c>
      <c r="D88" s="282"/>
      <c r="E88" s="282"/>
      <c r="F88" s="282"/>
      <c r="G88" s="282"/>
      <c r="H88" s="282"/>
      <c r="I88" s="282"/>
      <c r="J88" s="282"/>
      <c r="K88" s="282"/>
      <c r="L88" s="282"/>
      <c r="M88" s="282"/>
      <c r="N88" s="283"/>
    </row>
    <row r="89" spans="1:14" ht="15" customHeight="1" x14ac:dyDescent="0.25">
      <c r="A89" s="272"/>
      <c r="B89" s="274"/>
      <c r="C89" s="281" t="s">
        <v>210</v>
      </c>
      <c r="D89" s="282"/>
      <c r="E89" s="282"/>
      <c r="F89" s="282"/>
      <c r="G89" s="282"/>
      <c r="H89" s="282"/>
      <c r="I89" s="282"/>
      <c r="J89" s="282"/>
      <c r="K89" s="282"/>
      <c r="L89" s="282"/>
      <c r="M89" s="282"/>
      <c r="N89" s="283"/>
    </row>
    <row r="90" spans="1:14" x14ac:dyDescent="0.25">
      <c r="A90" s="284"/>
      <c r="B90" s="285"/>
      <c r="C90" s="285"/>
      <c r="D90" s="285"/>
      <c r="E90" s="285"/>
      <c r="F90" s="285"/>
      <c r="G90" s="285"/>
      <c r="H90" s="285"/>
      <c r="I90" s="285"/>
      <c r="J90" s="285"/>
      <c r="K90" s="285"/>
      <c r="L90" s="285"/>
      <c r="M90" s="285"/>
      <c r="N90" s="286"/>
    </row>
    <row r="91" spans="1:14" ht="75" x14ac:dyDescent="0.25">
      <c r="A91" s="85" t="s">
        <v>112</v>
      </c>
      <c r="B91" s="86" t="s">
        <v>77</v>
      </c>
      <c r="C91" s="86" t="s">
        <v>113</v>
      </c>
      <c r="D91" s="86" t="s">
        <v>114</v>
      </c>
      <c r="E91" s="86" t="s">
        <v>115</v>
      </c>
      <c r="F91" s="86" t="s">
        <v>116</v>
      </c>
      <c r="G91" s="86" t="s">
        <v>117</v>
      </c>
      <c r="H91" s="86" t="s">
        <v>110</v>
      </c>
      <c r="I91" s="87" t="s">
        <v>118</v>
      </c>
      <c r="J91" s="87" t="s">
        <v>119</v>
      </c>
      <c r="K91" s="87" t="s">
        <v>120</v>
      </c>
      <c r="L91" s="87" t="s">
        <v>121</v>
      </c>
      <c r="M91" s="87" t="s">
        <v>122</v>
      </c>
      <c r="N91" s="88" t="s">
        <v>123</v>
      </c>
    </row>
    <row r="92" spans="1:14" ht="42.75" customHeight="1" x14ac:dyDescent="0.25">
      <c r="A92" s="271">
        <v>8</v>
      </c>
      <c r="B92" s="274" t="s">
        <v>26</v>
      </c>
      <c r="C92" s="287" t="s">
        <v>124</v>
      </c>
      <c r="D92" s="89">
        <v>300</v>
      </c>
      <c r="E92" s="2">
        <v>4500211078</v>
      </c>
      <c r="F92" s="144" t="s">
        <v>198</v>
      </c>
      <c r="G92" s="137">
        <v>300</v>
      </c>
      <c r="H92" s="137">
        <v>307</v>
      </c>
      <c r="I92" s="137">
        <v>0</v>
      </c>
      <c r="J92" s="137">
        <v>129</v>
      </c>
      <c r="K92" s="126">
        <v>39</v>
      </c>
      <c r="L92" s="126">
        <f>G92-H92</f>
        <v>-7</v>
      </c>
      <c r="M92" s="138" t="s">
        <v>136</v>
      </c>
      <c r="N92" s="107" t="s">
        <v>211</v>
      </c>
    </row>
    <row r="93" spans="1:14" ht="57.75" x14ac:dyDescent="0.25">
      <c r="A93" s="271"/>
      <c r="B93" s="274"/>
      <c r="C93" s="287"/>
      <c r="D93" s="89">
        <v>100</v>
      </c>
      <c r="E93" s="2">
        <v>4500211111</v>
      </c>
      <c r="F93" s="2" t="s">
        <v>212</v>
      </c>
      <c r="G93" s="137">
        <v>100</v>
      </c>
      <c r="H93" s="137">
        <v>100</v>
      </c>
      <c r="I93" s="137">
        <v>0</v>
      </c>
      <c r="J93" s="137">
        <v>28</v>
      </c>
      <c r="K93" s="126">
        <v>37</v>
      </c>
      <c r="L93" s="126">
        <f>G93-H93</f>
        <v>0</v>
      </c>
      <c r="M93" s="138" t="s">
        <v>136</v>
      </c>
      <c r="N93" s="145" t="s">
        <v>213</v>
      </c>
    </row>
    <row r="94" spans="1:14" ht="43.5" x14ac:dyDescent="0.25">
      <c r="A94" s="271"/>
      <c r="B94" s="274"/>
      <c r="C94" s="287"/>
      <c r="D94" s="89">
        <v>100</v>
      </c>
      <c r="E94" s="2">
        <v>4500210999</v>
      </c>
      <c r="F94" s="2" t="s">
        <v>214</v>
      </c>
      <c r="G94" s="137">
        <v>100</v>
      </c>
      <c r="H94" s="137">
        <v>100</v>
      </c>
      <c r="I94" s="137">
        <v>0</v>
      </c>
      <c r="J94" s="137">
        <v>0</v>
      </c>
      <c r="K94" s="126">
        <v>100</v>
      </c>
      <c r="L94" s="126">
        <f>G94-H94</f>
        <v>0</v>
      </c>
      <c r="M94" s="138" t="s">
        <v>136</v>
      </c>
      <c r="N94" s="145" t="s">
        <v>215</v>
      </c>
    </row>
    <row r="95" spans="1:14" x14ac:dyDescent="0.25">
      <c r="A95" s="271"/>
      <c r="B95" s="274"/>
      <c r="C95" s="287"/>
      <c r="D95" s="89">
        <v>100</v>
      </c>
      <c r="E95" s="2">
        <v>4500211110</v>
      </c>
      <c r="F95" s="2" t="s">
        <v>216</v>
      </c>
      <c r="G95" s="137">
        <v>100</v>
      </c>
      <c r="H95" s="137">
        <v>100</v>
      </c>
      <c r="I95" s="137">
        <v>0</v>
      </c>
      <c r="J95" s="137">
        <v>0</v>
      </c>
      <c r="K95" s="126">
        <v>0</v>
      </c>
      <c r="L95" s="126">
        <f>G95-H95</f>
        <v>0</v>
      </c>
      <c r="M95" s="138" t="s">
        <v>136</v>
      </c>
      <c r="N95" s="146" t="s">
        <v>217</v>
      </c>
    </row>
    <row r="96" spans="1:14" x14ac:dyDescent="0.25">
      <c r="A96" s="271"/>
      <c r="B96" s="274"/>
      <c r="C96" s="94"/>
      <c r="D96" s="94"/>
      <c r="E96" s="94"/>
      <c r="F96" s="94"/>
      <c r="G96" s="94"/>
      <c r="H96" s="94"/>
      <c r="I96" s="94"/>
      <c r="J96" s="94"/>
      <c r="K96" s="94"/>
      <c r="L96" s="94"/>
      <c r="M96" s="94"/>
      <c r="N96" s="96"/>
    </row>
    <row r="97" spans="1:14" ht="57.75" x14ac:dyDescent="0.25">
      <c r="A97" s="271"/>
      <c r="B97" s="274"/>
      <c r="C97" s="288"/>
      <c r="D97" s="147">
        <v>24</v>
      </c>
      <c r="E97" s="148">
        <v>450021109</v>
      </c>
      <c r="F97" s="144" t="s">
        <v>218</v>
      </c>
      <c r="G97" s="125">
        <v>24</v>
      </c>
      <c r="H97" s="126">
        <v>24</v>
      </c>
      <c r="I97" s="126" t="s">
        <v>129</v>
      </c>
      <c r="J97" s="126" t="s">
        <v>129</v>
      </c>
      <c r="K97" s="126">
        <v>24</v>
      </c>
      <c r="L97" s="126">
        <f t="shared" ref="L97:L102" si="1">G97-H97</f>
        <v>0</v>
      </c>
      <c r="M97" s="90" t="s">
        <v>136</v>
      </c>
      <c r="N97" s="107" t="s">
        <v>219</v>
      </c>
    </row>
    <row r="98" spans="1:14" ht="43.5" x14ac:dyDescent="0.25">
      <c r="A98" s="271"/>
      <c r="B98" s="274"/>
      <c r="C98" s="288"/>
      <c r="D98" s="149">
        <v>6</v>
      </c>
      <c r="E98" s="148">
        <v>4500211089</v>
      </c>
      <c r="F98" s="150" t="s">
        <v>220</v>
      </c>
      <c r="G98" s="125">
        <v>6</v>
      </c>
      <c r="H98" s="126">
        <v>6</v>
      </c>
      <c r="I98" s="126" t="s">
        <v>129</v>
      </c>
      <c r="J98" s="126" t="s">
        <v>129</v>
      </c>
      <c r="K98" s="126">
        <v>6</v>
      </c>
      <c r="L98" s="126">
        <f t="shared" si="1"/>
        <v>0</v>
      </c>
      <c r="M98" s="90" t="s">
        <v>136</v>
      </c>
      <c r="N98" s="107" t="s">
        <v>221</v>
      </c>
    </row>
    <row r="99" spans="1:14" ht="43.5" x14ac:dyDescent="0.25">
      <c r="A99" s="271"/>
      <c r="B99" s="274"/>
      <c r="C99" s="288"/>
      <c r="D99" s="149">
        <v>10</v>
      </c>
      <c r="E99" s="148">
        <v>4500211070</v>
      </c>
      <c r="F99" s="144" t="s">
        <v>222</v>
      </c>
      <c r="G99" s="125">
        <v>10</v>
      </c>
      <c r="H99" s="126">
        <v>10</v>
      </c>
      <c r="I99" s="126" t="s">
        <v>129</v>
      </c>
      <c r="J99" s="126" t="s">
        <v>129</v>
      </c>
      <c r="K99" s="126">
        <v>10</v>
      </c>
      <c r="L99" s="126">
        <f t="shared" si="1"/>
        <v>0</v>
      </c>
      <c r="M99" s="90" t="s">
        <v>136</v>
      </c>
      <c r="N99" s="107" t="s">
        <v>223</v>
      </c>
    </row>
    <row r="100" spans="1:14" ht="72" x14ac:dyDescent="0.25">
      <c r="A100" s="271"/>
      <c r="B100" s="274"/>
      <c r="C100" s="288"/>
      <c r="D100" s="151">
        <v>6</v>
      </c>
      <c r="E100" s="2">
        <v>4500211068</v>
      </c>
      <c r="F100" s="150" t="s">
        <v>224</v>
      </c>
      <c r="G100" s="137">
        <v>6</v>
      </c>
      <c r="H100" s="126">
        <v>6</v>
      </c>
      <c r="I100" s="126" t="s">
        <v>129</v>
      </c>
      <c r="J100" s="126" t="s">
        <v>129</v>
      </c>
      <c r="K100" s="126">
        <v>6</v>
      </c>
      <c r="L100" s="126">
        <f t="shared" si="1"/>
        <v>0</v>
      </c>
      <c r="M100" s="90" t="s">
        <v>136</v>
      </c>
      <c r="N100" s="107" t="s">
        <v>225</v>
      </c>
    </row>
    <row r="101" spans="1:14" ht="43.5" x14ac:dyDescent="0.25">
      <c r="A101" s="271"/>
      <c r="B101" s="274"/>
      <c r="C101" s="288"/>
      <c r="D101" s="151">
        <v>3</v>
      </c>
      <c r="E101" s="2">
        <v>4500211113</v>
      </c>
      <c r="F101" s="150" t="s">
        <v>226</v>
      </c>
      <c r="G101" s="137">
        <v>3</v>
      </c>
      <c r="H101" s="126">
        <v>3</v>
      </c>
      <c r="I101" s="126" t="s">
        <v>129</v>
      </c>
      <c r="J101" s="126" t="s">
        <v>129</v>
      </c>
      <c r="K101" s="126">
        <v>3</v>
      </c>
      <c r="L101" s="126">
        <f t="shared" si="1"/>
        <v>0</v>
      </c>
      <c r="M101" s="90" t="s">
        <v>136</v>
      </c>
      <c r="N101" s="107" t="s">
        <v>227</v>
      </c>
    </row>
    <row r="102" spans="1:14" ht="43.5" x14ac:dyDescent="0.25">
      <c r="A102" s="271"/>
      <c r="B102" s="274"/>
      <c r="C102" s="289"/>
      <c r="D102" s="151">
        <v>10</v>
      </c>
      <c r="E102" s="2">
        <v>4500211110</v>
      </c>
      <c r="F102" s="2" t="s">
        <v>214</v>
      </c>
      <c r="G102" s="137">
        <v>10</v>
      </c>
      <c r="H102" s="126">
        <v>10</v>
      </c>
      <c r="I102" s="126" t="s">
        <v>129</v>
      </c>
      <c r="J102" s="126" t="s">
        <v>129</v>
      </c>
      <c r="K102" s="126">
        <v>10</v>
      </c>
      <c r="L102" s="126">
        <f t="shared" si="1"/>
        <v>0</v>
      </c>
      <c r="M102" s="90" t="s">
        <v>136</v>
      </c>
      <c r="N102" s="107" t="s">
        <v>228</v>
      </c>
    </row>
    <row r="103" spans="1:14" ht="15" customHeight="1" x14ac:dyDescent="0.25">
      <c r="A103" s="272"/>
      <c r="B103" s="274" t="s">
        <v>131</v>
      </c>
      <c r="C103" s="277" t="s">
        <v>229</v>
      </c>
      <c r="D103" s="266"/>
      <c r="E103" s="266"/>
      <c r="F103" s="266"/>
      <c r="G103" s="266"/>
      <c r="H103" s="266"/>
      <c r="I103" s="266"/>
      <c r="J103" s="266"/>
      <c r="K103" s="266"/>
      <c r="L103" s="266"/>
      <c r="M103" s="266"/>
      <c r="N103" s="267"/>
    </row>
    <row r="104" spans="1:14" ht="15" customHeight="1" x14ac:dyDescent="0.25">
      <c r="A104" s="272"/>
      <c r="B104" s="274"/>
      <c r="C104" s="290" t="s">
        <v>230</v>
      </c>
      <c r="D104" s="290"/>
      <c r="E104" s="290"/>
      <c r="F104" s="291"/>
      <c r="G104" s="291"/>
      <c r="H104" s="291"/>
      <c r="I104" s="291"/>
      <c r="J104" s="291"/>
      <c r="K104" s="291"/>
      <c r="L104" s="291"/>
      <c r="M104" s="291"/>
      <c r="N104" s="292"/>
    </row>
    <row r="105" spans="1:14" x14ac:dyDescent="0.25">
      <c r="A105" s="272"/>
      <c r="B105" s="274"/>
      <c r="C105" s="293" t="s">
        <v>231</v>
      </c>
      <c r="D105" s="269"/>
      <c r="E105" s="269"/>
      <c r="F105" s="269"/>
      <c r="G105" s="269"/>
      <c r="H105" s="269"/>
      <c r="I105" s="269"/>
      <c r="J105" s="269"/>
      <c r="K105" s="269"/>
      <c r="L105" s="269"/>
      <c r="M105" s="269"/>
      <c r="N105" s="270"/>
    </row>
    <row r="106" spans="1:14" x14ac:dyDescent="0.25">
      <c r="A106" s="272"/>
      <c r="B106" s="274"/>
      <c r="C106" s="265" t="s">
        <v>232</v>
      </c>
      <c r="D106" s="266"/>
      <c r="E106" s="266"/>
      <c r="F106" s="266"/>
      <c r="G106" s="266"/>
      <c r="H106" s="266"/>
      <c r="I106" s="266"/>
      <c r="J106" s="266"/>
      <c r="K106" s="266"/>
      <c r="L106" s="266"/>
      <c r="M106" s="266"/>
      <c r="N106" s="267"/>
    </row>
    <row r="107" spans="1:14" x14ac:dyDescent="0.25">
      <c r="A107" s="272"/>
      <c r="B107" s="274"/>
      <c r="C107" s="152" t="s">
        <v>233</v>
      </c>
      <c r="D107" s="153"/>
      <c r="E107" s="153"/>
      <c r="F107" s="153"/>
      <c r="G107" s="153"/>
      <c r="H107" s="153"/>
      <c r="I107" s="153"/>
      <c r="J107" s="153"/>
      <c r="K107" s="153"/>
      <c r="L107" s="153"/>
      <c r="M107" s="153"/>
      <c r="N107" s="154"/>
    </row>
    <row r="108" spans="1:14" ht="15" customHeight="1" x14ac:dyDescent="0.25">
      <c r="A108" s="272"/>
      <c r="B108" s="274"/>
      <c r="C108" s="268" t="s">
        <v>234</v>
      </c>
      <c r="D108" s="268"/>
      <c r="E108" s="268"/>
      <c r="F108" s="269"/>
      <c r="G108" s="269"/>
      <c r="H108" s="269"/>
      <c r="I108" s="269"/>
      <c r="J108" s="269"/>
      <c r="K108" s="269"/>
      <c r="L108" s="269"/>
      <c r="M108" s="269"/>
      <c r="N108" s="270"/>
    </row>
    <row r="109" spans="1:14" x14ac:dyDescent="0.25">
      <c r="A109" s="155"/>
      <c r="B109" s="156"/>
      <c r="C109" s="156"/>
      <c r="D109" s="156"/>
      <c r="E109" s="156"/>
      <c r="F109" s="156"/>
      <c r="G109" s="156"/>
      <c r="H109" s="156"/>
      <c r="I109" s="156"/>
      <c r="J109" s="156"/>
      <c r="K109" s="156"/>
      <c r="L109" s="156"/>
      <c r="M109" s="156"/>
      <c r="N109" s="157"/>
    </row>
    <row r="110" spans="1:14" ht="75" x14ac:dyDescent="0.25">
      <c r="A110" s="85" t="s">
        <v>112</v>
      </c>
      <c r="B110" s="86" t="s">
        <v>77</v>
      </c>
      <c r="C110" s="86" t="s">
        <v>113</v>
      </c>
      <c r="D110" s="86" t="s">
        <v>114</v>
      </c>
      <c r="E110" s="86" t="s">
        <v>115</v>
      </c>
      <c r="F110" s="86" t="s">
        <v>116</v>
      </c>
      <c r="G110" s="86" t="s">
        <v>117</v>
      </c>
      <c r="H110" s="86" t="s">
        <v>110</v>
      </c>
      <c r="I110" s="87" t="s">
        <v>118</v>
      </c>
      <c r="J110" s="87" t="s">
        <v>119</v>
      </c>
      <c r="K110" s="87" t="s">
        <v>120</v>
      </c>
      <c r="L110" s="87" t="s">
        <v>121</v>
      </c>
      <c r="M110" s="158" t="s">
        <v>122</v>
      </c>
      <c r="N110" s="159" t="s">
        <v>123</v>
      </c>
    </row>
    <row r="111" spans="1:14" ht="48.75" customHeight="1" x14ac:dyDescent="0.25">
      <c r="A111" s="271">
        <v>9</v>
      </c>
      <c r="B111" s="274" t="s">
        <v>235</v>
      </c>
      <c r="C111" s="97" t="s">
        <v>124</v>
      </c>
      <c r="D111" s="137">
        <v>1000</v>
      </c>
      <c r="E111" s="136">
        <v>4500211009</v>
      </c>
      <c r="F111" s="136" t="s">
        <v>83</v>
      </c>
      <c r="G111" s="137">
        <v>1000</v>
      </c>
      <c r="H111" s="137">
        <v>1000</v>
      </c>
      <c r="I111" s="137">
        <v>25</v>
      </c>
      <c r="J111" s="137">
        <v>125</v>
      </c>
      <c r="K111" s="126">
        <v>0</v>
      </c>
      <c r="L111" s="126">
        <f>G111-H111</f>
        <v>0</v>
      </c>
      <c r="M111" s="160" t="s">
        <v>236</v>
      </c>
      <c r="N111" s="161" t="s">
        <v>237</v>
      </c>
    </row>
    <row r="112" spans="1:14" x14ac:dyDescent="0.25">
      <c r="A112" s="271"/>
      <c r="B112" s="274"/>
      <c r="C112" s="94"/>
      <c r="D112" s="94"/>
      <c r="E112" s="94"/>
      <c r="F112" s="94"/>
      <c r="G112" s="94"/>
      <c r="H112" s="94"/>
      <c r="I112" s="94"/>
      <c r="J112" s="94"/>
      <c r="K112" s="94"/>
      <c r="L112" s="94"/>
      <c r="M112" s="162"/>
      <c r="N112" s="163"/>
    </row>
    <row r="113" spans="1:14" ht="85.5" x14ac:dyDescent="0.25">
      <c r="A113" s="271"/>
      <c r="B113" s="274"/>
      <c r="C113" s="275" t="s">
        <v>127</v>
      </c>
      <c r="D113" s="89">
        <v>8</v>
      </c>
      <c r="E113" s="2">
        <v>4500211028</v>
      </c>
      <c r="F113" s="2" t="s">
        <v>238</v>
      </c>
      <c r="G113" s="137">
        <v>8</v>
      </c>
      <c r="H113" s="126">
        <v>7</v>
      </c>
      <c r="I113" s="126" t="s">
        <v>129</v>
      </c>
      <c r="J113" s="126" t="s">
        <v>129</v>
      </c>
      <c r="K113" s="126">
        <v>7</v>
      </c>
      <c r="L113" s="126">
        <f>G113-H113</f>
        <v>1</v>
      </c>
      <c r="M113" s="164">
        <v>43945</v>
      </c>
      <c r="N113" s="165" t="s">
        <v>239</v>
      </c>
    </row>
    <row r="114" spans="1:14" ht="57" x14ac:dyDescent="0.25">
      <c r="A114" s="271"/>
      <c r="B114" s="274"/>
      <c r="C114" s="275"/>
      <c r="D114" s="89">
        <v>10</v>
      </c>
      <c r="E114" s="2">
        <v>4500211111</v>
      </c>
      <c r="F114" s="2" t="s">
        <v>212</v>
      </c>
      <c r="G114" s="137">
        <v>10</v>
      </c>
      <c r="H114" s="126">
        <v>10</v>
      </c>
      <c r="I114" s="126" t="s">
        <v>129</v>
      </c>
      <c r="J114" s="126" t="s">
        <v>129</v>
      </c>
      <c r="K114" s="126">
        <v>10</v>
      </c>
      <c r="L114" s="126">
        <f>G114-H114</f>
        <v>0</v>
      </c>
      <c r="M114" s="164"/>
      <c r="N114" s="165" t="s">
        <v>240</v>
      </c>
    </row>
    <row r="115" spans="1:14" ht="60" customHeight="1" x14ac:dyDescent="0.25">
      <c r="A115" s="271"/>
      <c r="B115" s="274"/>
      <c r="C115" s="275"/>
      <c r="D115" s="89">
        <v>10</v>
      </c>
      <c r="E115" s="166">
        <v>4500211081</v>
      </c>
      <c r="F115" s="3" t="s">
        <v>241</v>
      </c>
      <c r="G115" s="137">
        <v>10</v>
      </c>
      <c r="H115" s="126">
        <v>10</v>
      </c>
      <c r="I115" s="126" t="s">
        <v>129</v>
      </c>
      <c r="J115" s="126" t="s">
        <v>129</v>
      </c>
      <c r="K115" s="126">
        <v>10</v>
      </c>
      <c r="L115" s="126">
        <f>G115-H115</f>
        <v>0</v>
      </c>
      <c r="M115" s="164"/>
      <c r="N115" s="165" t="s">
        <v>242</v>
      </c>
    </row>
    <row r="116" spans="1:14" ht="15" customHeight="1" x14ac:dyDescent="0.25">
      <c r="A116" s="272"/>
      <c r="B116" s="274" t="s">
        <v>131</v>
      </c>
      <c r="C116" s="277" t="s">
        <v>243</v>
      </c>
      <c r="D116" s="266"/>
      <c r="E116" s="266"/>
      <c r="F116" s="266"/>
      <c r="G116" s="266"/>
      <c r="H116" s="266"/>
      <c r="I116" s="266"/>
      <c r="J116" s="266"/>
      <c r="K116" s="266"/>
      <c r="L116" s="266"/>
      <c r="M116" s="266"/>
      <c r="N116" s="267"/>
    </row>
    <row r="117" spans="1:14" ht="15.75" thickBot="1" x14ac:dyDescent="0.3">
      <c r="A117" s="273"/>
      <c r="B117" s="276"/>
      <c r="C117" s="278"/>
      <c r="D117" s="278"/>
      <c r="E117" s="278"/>
      <c r="F117" s="279"/>
      <c r="G117" s="279"/>
      <c r="H117" s="279"/>
      <c r="I117" s="279"/>
      <c r="J117" s="279"/>
      <c r="K117" s="279"/>
      <c r="L117" s="279"/>
      <c r="M117" s="279"/>
      <c r="N117" s="280"/>
    </row>
    <row r="118" spans="1:14" x14ac:dyDescent="0.25">
      <c r="C118" s="167"/>
    </row>
  </sheetData>
  <mergeCells count="114">
    <mergeCell ref="A1:N1"/>
    <mergeCell ref="A4:A11"/>
    <mergeCell ref="B4:B7"/>
    <mergeCell ref="C4:C5"/>
    <mergeCell ref="B8:B11"/>
    <mergeCell ref="C8:N8"/>
    <mergeCell ref="C9:N9"/>
    <mergeCell ref="C10:N10"/>
    <mergeCell ref="C11:N11"/>
    <mergeCell ref="N36:N38"/>
    <mergeCell ref="A14:A22"/>
    <mergeCell ref="B14:B18"/>
    <mergeCell ref="C14:C16"/>
    <mergeCell ref="B19:B22"/>
    <mergeCell ref="C19:N19"/>
    <mergeCell ref="C20:N20"/>
    <mergeCell ref="C21:N21"/>
    <mergeCell ref="C22:N22"/>
    <mergeCell ref="M40:M42"/>
    <mergeCell ref="C33:N33"/>
    <mergeCell ref="A34:N34"/>
    <mergeCell ref="A36:A46"/>
    <mergeCell ref="B36:B42"/>
    <mergeCell ref="C36:C38"/>
    <mergeCell ref="D36:D38"/>
    <mergeCell ref="G36:G38"/>
    <mergeCell ref="H36:H38"/>
    <mergeCell ref="I36:I38"/>
    <mergeCell ref="J36:J38"/>
    <mergeCell ref="A25:A33"/>
    <mergeCell ref="B25:B30"/>
    <mergeCell ref="C25:C26"/>
    <mergeCell ref="D25:D26"/>
    <mergeCell ref="I25:I26"/>
    <mergeCell ref="C28:C30"/>
    <mergeCell ref="D28:D30"/>
    <mergeCell ref="B31:B33"/>
    <mergeCell ref="C31:N31"/>
    <mergeCell ref="C32:N32"/>
    <mergeCell ref="K36:K38"/>
    <mergeCell ref="L36:L38"/>
    <mergeCell ref="M36:M38"/>
    <mergeCell ref="N40:N42"/>
    <mergeCell ref="B43:B46"/>
    <mergeCell ref="C43:N43"/>
    <mergeCell ref="C44:N44"/>
    <mergeCell ref="C45:N45"/>
    <mergeCell ref="C46:N46"/>
    <mergeCell ref="A49:A59"/>
    <mergeCell ref="B49:B55"/>
    <mergeCell ref="C49:C51"/>
    <mergeCell ref="D49:D51"/>
    <mergeCell ref="C53:C55"/>
    <mergeCell ref="B56:B59"/>
    <mergeCell ref="C56:N56"/>
    <mergeCell ref="C57:N57"/>
    <mergeCell ref="C58:N58"/>
    <mergeCell ref="C59:N59"/>
    <mergeCell ref="C40:C42"/>
    <mergeCell ref="D40:D42"/>
    <mergeCell ref="G40:G42"/>
    <mergeCell ref="H40:H42"/>
    <mergeCell ref="I40:I42"/>
    <mergeCell ref="J40:J42"/>
    <mergeCell ref="K40:K42"/>
    <mergeCell ref="L40:L42"/>
    <mergeCell ref="A60:N60"/>
    <mergeCell ref="A62:A71"/>
    <mergeCell ref="B62:B66"/>
    <mergeCell ref="C62:C63"/>
    <mergeCell ref="D62:D63"/>
    <mergeCell ref="C65:C66"/>
    <mergeCell ref="D65:D66"/>
    <mergeCell ref="G65:G66"/>
    <mergeCell ref="H65:H66"/>
    <mergeCell ref="I65:I66"/>
    <mergeCell ref="J65:J66"/>
    <mergeCell ref="K65:K66"/>
    <mergeCell ref="L65:L66"/>
    <mergeCell ref="M65:M66"/>
    <mergeCell ref="N65:N66"/>
    <mergeCell ref="B67:B71"/>
    <mergeCell ref="C67:N67"/>
    <mergeCell ref="C68:N68"/>
    <mergeCell ref="C69:N69"/>
    <mergeCell ref="C70:N70"/>
    <mergeCell ref="C71:N71"/>
    <mergeCell ref="B72:N72"/>
    <mergeCell ref="A74:A89"/>
    <mergeCell ref="B74:B85"/>
    <mergeCell ref="C74:C81"/>
    <mergeCell ref="C83:C85"/>
    <mergeCell ref="B86:B89"/>
    <mergeCell ref="C86:N86"/>
    <mergeCell ref="C87:N87"/>
    <mergeCell ref="C88:N88"/>
    <mergeCell ref="C106:N106"/>
    <mergeCell ref="C108:N108"/>
    <mergeCell ref="A111:A117"/>
    <mergeCell ref="B111:B115"/>
    <mergeCell ref="C113:C115"/>
    <mergeCell ref="B116:B117"/>
    <mergeCell ref="C116:N116"/>
    <mergeCell ref="C117:N117"/>
    <mergeCell ref="C89:N89"/>
    <mergeCell ref="A90:N90"/>
    <mergeCell ref="A92:A108"/>
    <mergeCell ref="B92:B102"/>
    <mergeCell ref="C92:C95"/>
    <mergeCell ref="C97:C102"/>
    <mergeCell ref="B103:B108"/>
    <mergeCell ref="C103:N103"/>
    <mergeCell ref="C104:N104"/>
    <mergeCell ref="C105:N105"/>
  </mergeCells>
  <pageMargins left="0.7" right="0.7" top="0.75" bottom="0.75" header="0.3" footer="0.3"/>
  <pageSetup scale="50" orientation="landscape" horizontalDpi="4294967293" verticalDpi="4294967293" r:id="rId1"/>
  <rowBreaks count="3" manualBreakCount="3">
    <brk id="33" max="16383" man="1"/>
    <brk id="59" max="16383" man="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
  <sheetViews>
    <sheetView zoomScale="96" zoomScaleNormal="95" workbookViewId="0">
      <selection activeCell="D12" sqref="D12"/>
    </sheetView>
  </sheetViews>
  <sheetFormatPr defaultRowHeight="15" x14ac:dyDescent="0.25"/>
  <cols>
    <col min="2" max="2" width="92.5703125" customWidth="1"/>
    <col min="3" max="3" width="18.42578125" bestFit="1" customWidth="1"/>
    <col min="4" max="4" width="13" customWidth="1"/>
    <col min="5" max="5" width="13.5703125" customWidth="1"/>
    <col min="6" max="6" width="18" bestFit="1" customWidth="1"/>
    <col min="7" max="7" width="16.85546875" bestFit="1" customWidth="1"/>
    <col min="8" max="8" width="18.5703125" customWidth="1"/>
    <col min="9" max="9" width="20.85546875" customWidth="1"/>
    <col min="11" max="11" width="12.42578125" bestFit="1" customWidth="1"/>
    <col min="12" max="12" width="15.5703125" bestFit="1" customWidth="1"/>
  </cols>
  <sheetData>
    <row r="1" spans="1:12" x14ac:dyDescent="0.25">
      <c r="A1" s="5" t="s">
        <v>97</v>
      </c>
    </row>
    <row r="2" spans="1:12" x14ac:dyDescent="0.25">
      <c r="B2" s="20" t="s">
        <v>98</v>
      </c>
      <c r="F2" s="16"/>
    </row>
    <row r="3" spans="1:12" x14ac:dyDescent="0.25">
      <c r="B3" s="4" t="s">
        <v>6</v>
      </c>
      <c r="F3" s="16"/>
      <c r="G3" s="16"/>
    </row>
    <row r="4" spans="1:12" ht="30" x14ac:dyDescent="0.25">
      <c r="A4" s="4" t="s">
        <v>1</v>
      </c>
      <c r="B4" s="4" t="s">
        <v>0</v>
      </c>
      <c r="C4" s="4" t="s">
        <v>99</v>
      </c>
      <c r="D4" s="4" t="s">
        <v>4</v>
      </c>
      <c r="E4" s="4" t="s">
        <v>9</v>
      </c>
      <c r="F4" s="17" t="s">
        <v>2</v>
      </c>
      <c r="G4" s="16"/>
    </row>
    <row r="5" spans="1:12" x14ac:dyDescent="0.25">
      <c r="A5" s="50">
        <v>1</v>
      </c>
      <c r="B5" s="3" t="s">
        <v>100</v>
      </c>
      <c r="C5" s="12">
        <f>'[1] DWS 18 04 2020'!F4/'[1] DWS 18 04 2020'!E4</f>
        <v>14857.215573179525</v>
      </c>
      <c r="D5" s="51">
        <v>4477</v>
      </c>
      <c r="E5" s="12"/>
      <c r="F5" s="18">
        <f>+C5*D5</f>
        <v>66515754.12112473</v>
      </c>
      <c r="G5" s="16"/>
      <c r="H5" s="16"/>
    </row>
    <row r="6" spans="1:12" x14ac:dyDescent="0.25">
      <c r="A6" s="14">
        <v>2</v>
      </c>
      <c r="B6" s="3" t="s">
        <v>101</v>
      </c>
      <c r="C6" s="12">
        <f>'[1] DWS 18 04 2020'!F5/'[1] DWS 18 04 2020'!E5</f>
        <v>5252</v>
      </c>
      <c r="D6" s="52">
        <v>0</v>
      </c>
      <c r="E6" s="12"/>
      <c r="F6" s="18">
        <f>D6*C6</f>
        <v>0</v>
      </c>
      <c r="G6" s="16"/>
    </row>
    <row r="7" spans="1:12" x14ac:dyDescent="0.25">
      <c r="A7" s="14">
        <v>3</v>
      </c>
      <c r="B7" s="3" t="s">
        <v>102</v>
      </c>
      <c r="C7" s="12">
        <f>'[1] DWS 18 04 2020'!F6/'[1] DWS 18 04 2020'!E6</f>
        <v>6000</v>
      </c>
      <c r="D7" s="53">
        <f>D6</f>
        <v>0</v>
      </c>
      <c r="E7" s="12"/>
      <c r="F7" s="18">
        <f>D7*C7</f>
        <v>0</v>
      </c>
      <c r="G7" s="16"/>
    </row>
    <row r="8" spans="1:12" ht="28.5" x14ac:dyDescent="0.25">
      <c r="A8" s="50">
        <v>4</v>
      </c>
      <c r="B8" s="13" t="s">
        <v>103</v>
      </c>
      <c r="C8" s="12"/>
      <c r="D8" s="6">
        <v>40</v>
      </c>
      <c r="E8" s="6">
        <v>30</v>
      </c>
      <c r="F8" s="18">
        <f>D8/'[1] DWS 18 04 2020'!E$7*'[1] DWS 18 04 2020'!F$7</f>
        <v>7669780.443804034</v>
      </c>
      <c r="G8" s="16"/>
      <c r="H8" s="16">
        <f>SUM(F6:F7)</f>
        <v>0</v>
      </c>
    </row>
    <row r="9" spans="1:12" x14ac:dyDescent="0.25">
      <c r="A9" s="14">
        <v>5</v>
      </c>
      <c r="B9" s="3" t="s">
        <v>7</v>
      </c>
      <c r="C9" s="12">
        <f>'[1] DWS 18 04 2020'!F8/'[1] DWS 18 04 2020'!E8</f>
        <v>120</v>
      </c>
      <c r="D9" s="6">
        <v>23667</v>
      </c>
      <c r="E9" s="6"/>
      <c r="F9" s="18">
        <f>+C9*D9</f>
        <v>2840040</v>
      </c>
    </row>
    <row r="10" spans="1:12" ht="18.75" customHeight="1" x14ac:dyDescent="0.25">
      <c r="A10" s="14">
        <v>6</v>
      </c>
      <c r="B10" s="2" t="s">
        <v>8</v>
      </c>
      <c r="C10" s="12">
        <f>'[1] DWS 18 04 2020'!F9/'[1] DWS 18 04 2020'!E9</f>
        <v>20</v>
      </c>
      <c r="D10" s="6">
        <v>15000</v>
      </c>
      <c r="E10" s="6"/>
      <c r="F10" s="18">
        <f>+C10*D10</f>
        <v>300000</v>
      </c>
    </row>
    <row r="11" spans="1:12" ht="18.75" customHeight="1" x14ac:dyDescent="0.25">
      <c r="A11" s="50">
        <v>7</v>
      </c>
      <c r="B11" s="2" t="s">
        <v>104</v>
      </c>
      <c r="C11" s="12">
        <f>'[1] DWS 18 04 2020'!F10/'[1] DWS 18 04 2020'!E10</f>
        <v>750</v>
      </c>
      <c r="D11" s="6">
        <v>1500</v>
      </c>
      <c r="E11" s="6"/>
      <c r="F11" s="18">
        <f>+C11*D11</f>
        <v>1125000</v>
      </c>
      <c r="L11" s="54"/>
    </row>
    <row r="12" spans="1:12" s="9" customFormat="1" ht="18.75" customHeight="1" x14ac:dyDescent="0.25">
      <c r="A12" s="14">
        <v>8</v>
      </c>
      <c r="B12" s="7" t="s">
        <v>105</v>
      </c>
      <c r="C12" s="7"/>
      <c r="D12" s="8">
        <v>0.01</v>
      </c>
      <c r="E12" s="8"/>
      <c r="F12" s="19">
        <f>D12*F18*G$12</f>
        <v>918713.19793288293</v>
      </c>
      <c r="G12" s="55">
        <v>0.91918858595673103</v>
      </c>
      <c r="I12" s="56"/>
    </row>
    <row r="13" spans="1:12" ht="18.75" customHeight="1" x14ac:dyDescent="0.25">
      <c r="A13" s="14">
        <v>9</v>
      </c>
      <c r="B13" s="47" t="s">
        <v>94</v>
      </c>
      <c r="C13" s="12"/>
      <c r="D13" s="57"/>
      <c r="E13" s="57"/>
      <c r="F13" s="15">
        <f>SUM(F5:F12)</f>
        <v>79369287.762861654</v>
      </c>
      <c r="I13" s="16"/>
    </row>
    <row r="14" spans="1:12" s="9" customFormat="1" ht="18.75" customHeight="1" x14ac:dyDescent="0.25">
      <c r="A14" s="50">
        <v>10</v>
      </c>
      <c r="B14" s="7" t="s">
        <v>106</v>
      </c>
      <c r="C14" s="7"/>
      <c r="D14" s="8">
        <v>0.05</v>
      </c>
      <c r="E14" s="8"/>
      <c r="F14" s="19">
        <f>F18/1.15*0.05</f>
        <v>4345577.4684650702</v>
      </c>
      <c r="I14" s="58"/>
    </row>
    <row r="15" spans="1:12" s="9" customFormat="1" ht="18.75" customHeight="1" x14ac:dyDescent="0.25">
      <c r="A15" s="14">
        <v>11</v>
      </c>
      <c r="B15" s="7" t="s">
        <v>95</v>
      </c>
      <c r="C15" s="7"/>
      <c r="D15" s="8">
        <v>0.103684373606656</v>
      </c>
      <c r="E15" s="8"/>
      <c r="F15" s="21">
        <f>SUM(F13:F14)*D15</f>
        <v>8679923.3630757369</v>
      </c>
    </row>
    <row r="16" spans="1:12" s="9" customFormat="1" ht="18.75" customHeight="1" x14ac:dyDescent="0.25">
      <c r="A16" s="14">
        <v>12</v>
      </c>
      <c r="B16" s="7" t="s">
        <v>25</v>
      </c>
      <c r="C16" s="7"/>
      <c r="D16" s="8">
        <v>0.15</v>
      </c>
      <c r="E16" s="8"/>
      <c r="F16" s="21">
        <f>SUM(F13:F15)*D16</f>
        <v>13859218.289160369</v>
      </c>
    </row>
    <row r="17" spans="1:6" ht="18.75" customHeight="1" x14ac:dyDescent="0.25">
      <c r="A17" s="11"/>
      <c r="B17" s="1" t="s">
        <v>5</v>
      </c>
      <c r="C17" s="1"/>
      <c r="D17" s="1"/>
      <c r="E17" s="1"/>
      <c r="F17" s="15">
        <f>SUM(F5:F12,F14:F16)</f>
        <v>106254006.88356283</v>
      </c>
    </row>
    <row r="18" spans="1:6" ht="18.75" customHeight="1" x14ac:dyDescent="0.25">
      <c r="F18" s="59">
        <v>99948281.774696618</v>
      </c>
    </row>
    <row r="19" spans="1:6" x14ac:dyDescent="0.25">
      <c r="B19" s="4" t="s">
        <v>11</v>
      </c>
      <c r="F19" s="16"/>
    </row>
    <row r="20" spans="1:6" ht="30" x14ac:dyDescent="0.25">
      <c r="A20" s="4" t="s">
        <v>1</v>
      </c>
      <c r="B20" s="4" t="s">
        <v>0</v>
      </c>
      <c r="C20" s="4" t="s">
        <v>3</v>
      </c>
      <c r="D20" s="4" t="s">
        <v>4</v>
      </c>
      <c r="E20" s="4" t="s">
        <v>9</v>
      </c>
      <c r="F20" s="17" t="s">
        <v>2</v>
      </c>
    </row>
    <row r="21" spans="1:6" x14ac:dyDescent="0.25">
      <c r="A21" s="14">
        <v>1</v>
      </c>
      <c r="B21" s="3" t="s">
        <v>100</v>
      </c>
      <c r="C21" s="12">
        <f t="shared" ref="C21:C27" si="0">C5</f>
        <v>14857.215573179525</v>
      </c>
      <c r="D21" s="51">
        <f>400-D22</f>
        <v>280</v>
      </c>
      <c r="E21" s="12"/>
      <c r="F21" s="18">
        <f>+C21*D21</f>
        <v>4160020.3604902667</v>
      </c>
    </row>
    <row r="22" spans="1:6" x14ac:dyDescent="0.25">
      <c r="A22" s="14">
        <v>2</v>
      </c>
      <c r="B22" s="3" t="s">
        <v>101</v>
      </c>
      <c r="C22" s="12">
        <f t="shared" si="0"/>
        <v>5252</v>
      </c>
      <c r="D22" s="52">
        <v>120</v>
      </c>
      <c r="E22" s="12"/>
      <c r="F22" s="18">
        <f>D22*C22</f>
        <v>630240</v>
      </c>
    </row>
    <row r="23" spans="1:6" x14ac:dyDescent="0.25">
      <c r="A23" s="14">
        <v>3</v>
      </c>
      <c r="B23" s="3" t="s">
        <v>102</v>
      </c>
      <c r="C23" s="12">
        <f t="shared" si="0"/>
        <v>6000</v>
      </c>
      <c r="D23" s="53">
        <f>D22</f>
        <v>120</v>
      </c>
      <c r="E23" s="12"/>
      <c r="F23" s="18">
        <f>D23*C23</f>
        <v>720000</v>
      </c>
    </row>
    <row r="24" spans="1:6" ht="28.5" x14ac:dyDescent="0.25">
      <c r="A24" s="14">
        <v>4</v>
      </c>
      <c r="B24" s="13" t="s">
        <v>103</v>
      </c>
      <c r="C24" s="12">
        <f t="shared" si="0"/>
        <v>0</v>
      </c>
      <c r="D24" s="12">
        <v>48</v>
      </c>
      <c r="E24" s="12">
        <v>30</v>
      </c>
      <c r="F24" s="18">
        <f>D24/'[1] DWS 18 04 2020'!E$7*'[1] DWS 18 04 2020'!F$7</f>
        <v>9203736.5325648412</v>
      </c>
    </row>
    <row r="25" spans="1:6" x14ac:dyDescent="0.25">
      <c r="A25" s="14">
        <v>5</v>
      </c>
      <c r="B25" s="3" t="s">
        <v>7</v>
      </c>
      <c r="C25" s="12">
        <f t="shared" si="0"/>
        <v>120</v>
      </c>
      <c r="D25" s="6">
        <f>+$D$9</f>
        <v>23667</v>
      </c>
      <c r="E25" s="12"/>
      <c r="F25" s="18">
        <f>+C25*D25</f>
        <v>2840040</v>
      </c>
    </row>
    <row r="26" spans="1:6" x14ac:dyDescent="0.25">
      <c r="A26" s="14">
        <v>6</v>
      </c>
      <c r="B26" s="3" t="s">
        <v>8</v>
      </c>
      <c r="C26" s="12">
        <f t="shared" si="0"/>
        <v>20</v>
      </c>
      <c r="D26" s="6">
        <f>+$D$10</f>
        <v>15000</v>
      </c>
      <c r="E26" s="12"/>
      <c r="F26" s="18">
        <f>+C26*D26</f>
        <v>300000</v>
      </c>
    </row>
    <row r="27" spans="1:6" x14ac:dyDescent="0.25">
      <c r="A27" s="14">
        <v>7</v>
      </c>
      <c r="B27" s="3" t="s">
        <v>104</v>
      </c>
      <c r="C27" s="12">
        <f t="shared" si="0"/>
        <v>750</v>
      </c>
      <c r="D27" s="6">
        <v>1500</v>
      </c>
      <c r="E27" s="12"/>
      <c r="F27" s="18">
        <f>+C27*D27</f>
        <v>1125000</v>
      </c>
    </row>
    <row r="28" spans="1:6" x14ac:dyDescent="0.25">
      <c r="A28" s="14">
        <v>8</v>
      </c>
      <c r="B28" s="13" t="s">
        <v>107</v>
      </c>
      <c r="C28" s="6"/>
      <c r="D28" s="60">
        <v>0.01</v>
      </c>
      <c r="E28" s="6"/>
      <c r="F28" s="18">
        <f>D28*F34*G$12</f>
        <v>224877.68549859541</v>
      </c>
    </row>
    <row r="29" spans="1:6" x14ac:dyDescent="0.25">
      <c r="A29" s="14">
        <v>9</v>
      </c>
      <c r="B29" s="47" t="s">
        <v>94</v>
      </c>
      <c r="C29" s="12"/>
      <c r="D29" s="6"/>
      <c r="E29" s="12"/>
      <c r="F29" s="15">
        <f>SUM(F21:F28)</f>
        <v>19203914.578553703</v>
      </c>
    </row>
    <row r="30" spans="1:6" x14ac:dyDescent="0.25">
      <c r="A30" s="14">
        <v>10</v>
      </c>
      <c r="B30" s="3" t="s">
        <v>106</v>
      </c>
      <c r="C30" s="12"/>
      <c r="D30" s="49">
        <v>0.05</v>
      </c>
      <c r="E30" s="12"/>
      <c r="F30" s="18">
        <f>F34/1.15*0.05</f>
        <v>1063687.1283247443</v>
      </c>
    </row>
    <row r="31" spans="1:6" x14ac:dyDescent="0.25">
      <c r="A31" s="14">
        <v>11</v>
      </c>
      <c r="B31" s="13" t="s">
        <v>95</v>
      </c>
      <c r="C31" s="6"/>
      <c r="D31" s="60">
        <v>0.103684373606656</v>
      </c>
      <c r="E31" s="6"/>
      <c r="F31" s="18">
        <f>SUM(F29:F30)*D31</f>
        <v>2101433.5874868836</v>
      </c>
    </row>
    <row r="32" spans="1:6" x14ac:dyDescent="0.25">
      <c r="A32" s="14">
        <v>12</v>
      </c>
      <c r="B32" s="2" t="s">
        <v>25</v>
      </c>
      <c r="C32" s="2"/>
      <c r="D32" s="60">
        <v>0.15</v>
      </c>
      <c r="E32" s="6"/>
      <c r="F32" s="18">
        <f>SUM(F29:F31)*D32</f>
        <v>3355355.2941547995</v>
      </c>
    </row>
    <row r="33" spans="1:7" x14ac:dyDescent="0.25">
      <c r="A33" s="11"/>
      <c r="B33" s="1" t="s">
        <v>20</v>
      </c>
      <c r="C33" s="1"/>
      <c r="D33" s="1"/>
      <c r="E33" s="1"/>
      <c r="F33" s="15">
        <f>SUM(F21:F28,F30:F32)</f>
        <v>25724390.588520132</v>
      </c>
    </row>
    <row r="34" spans="1:7" x14ac:dyDescent="0.25">
      <c r="F34" s="59">
        <v>24464803.951469116</v>
      </c>
      <c r="G34" s="48"/>
    </row>
    <row r="35" spans="1:7" x14ac:dyDescent="0.25">
      <c r="B35" s="4" t="s">
        <v>12</v>
      </c>
      <c r="F35" s="16"/>
    </row>
    <row r="36" spans="1:7" ht="30" x14ac:dyDescent="0.25">
      <c r="A36" s="4" t="s">
        <v>1</v>
      </c>
      <c r="B36" s="4" t="s">
        <v>0</v>
      </c>
      <c r="C36" s="4" t="s">
        <v>3</v>
      </c>
      <c r="D36" s="4" t="s">
        <v>4</v>
      </c>
      <c r="E36" s="4" t="s">
        <v>9</v>
      </c>
      <c r="F36" s="17" t="s">
        <v>2</v>
      </c>
    </row>
    <row r="37" spans="1:7" x14ac:dyDescent="0.25">
      <c r="A37" s="14">
        <v>1</v>
      </c>
      <c r="B37" s="3" t="s">
        <v>100</v>
      </c>
      <c r="C37" s="12">
        <f t="shared" ref="C37:C43" si="1">C21</f>
        <v>14857.215573179525</v>
      </c>
      <c r="D37" s="51">
        <f>600-D38</f>
        <v>600</v>
      </c>
      <c r="E37" s="12"/>
      <c r="F37" s="18">
        <f>+C37*D37</f>
        <v>8914329.3439077139</v>
      </c>
    </row>
    <row r="38" spans="1:7" x14ac:dyDescent="0.25">
      <c r="A38" s="14">
        <v>2</v>
      </c>
      <c r="B38" s="3" t="s">
        <v>101</v>
      </c>
      <c r="C38" s="12">
        <f t="shared" si="1"/>
        <v>5252</v>
      </c>
      <c r="D38" s="52">
        <v>0</v>
      </c>
      <c r="E38" s="12"/>
      <c r="F38" s="18">
        <f>D38*C38</f>
        <v>0</v>
      </c>
    </row>
    <row r="39" spans="1:7" x14ac:dyDescent="0.25">
      <c r="A39" s="14">
        <v>3</v>
      </c>
      <c r="B39" s="3" t="s">
        <v>102</v>
      </c>
      <c r="C39" s="12">
        <f t="shared" si="1"/>
        <v>6000</v>
      </c>
      <c r="D39" s="53">
        <f>D38</f>
        <v>0</v>
      </c>
      <c r="E39" s="12"/>
      <c r="F39" s="18">
        <f>D39*C39</f>
        <v>0</v>
      </c>
    </row>
    <row r="40" spans="1:7" ht="28.5" x14ac:dyDescent="0.25">
      <c r="A40" s="14">
        <v>4</v>
      </c>
      <c r="B40" s="13" t="s">
        <v>103</v>
      </c>
      <c r="C40" s="6">
        <f t="shared" si="1"/>
        <v>0</v>
      </c>
      <c r="D40" s="12">
        <v>59</v>
      </c>
      <c r="E40" s="12">
        <v>30</v>
      </c>
      <c r="F40" s="18">
        <f>D40/'[1] DWS 18 04 2020'!E$7*'[1] DWS 18 04 2020'!F$7</f>
        <v>11312926.15461095</v>
      </c>
    </row>
    <row r="41" spans="1:7" x14ac:dyDescent="0.25">
      <c r="A41" s="14">
        <v>5</v>
      </c>
      <c r="B41" s="3" t="s">
        <v>7</v>
      </c>
      <c r="C41" s="12">
        <f t="shared" si="1"/>
        <v>120</v>
      </c>
      <c r="D41" s="6">
        <f>+$D$9</f>
        <v>23667</v>
      </c>
      <c r="E41" s="12"/>
      <c r="F41" s="18">
        <f>+C41*D41</f>
        <v>2840040</v>
      </c>
    </row>
    <row r="42" spans="1:7" x14ac:dyDescent="0.25">
      <c r="A42" s="14">
        <v>6</v>
      </c>
      <c r="B42" s="3" t="s">
        <v>8</v>
      </c>
      <c r="C42" s="12">
        <f t="shared" si="1"/>
        <v>20</v>
      </c>
      <c r="D42" s="6">
        <f>+$D$10</f>
        <v>15000</v>
      </c>
      <c r="E42" s="12"/>
      <c r="F42" s="18">
        <f>+C42*D42</f>
        <v>300000</v>
      </c>
    </row>
    <row r="43" spans="1:7" x14ac:dyDescent="0.25">
      <c r="A43" s="14">
        <v>7</v>
      </c>
      <c r="B43" s="3" t="s">
        <v>104</v>
      </c>
      <c r="C43" s="12">
        <f t="shared" si="1"/>
        <v>750</v>
      </c>
      <c r="D43" s="6">
        <v>1500</v>
      </c>
      <c r="E43" s="12"/>
      <c r="F43" s="18">
        <f>+C43*D43</f>
        <v>1125000</v>
      </c>
    </row>
    <row r="44" spans="1:7" x14ac:dyDescent="0.25">
      <c r="A44" s="14">
        <v>8</v>
      </c>
      <c r="B44" s="13" t="s">
        <v>105</v>
      </c>
      <c r="C44" s="12"/>
      <c r="D44" s="49">
        <v>0.01</v>
      </c>
      <c r="E44" s="12"/>
      <c r="F44" s="18">
        <f>D44*F50*G$12</f>
        <v>285743.8207107872</v>
      </c>
    </row>
    <row r="45" spans="1:7" x14ac:dyDescent="0.25">
      <c r="A45" s="14">
        <v>9</v>
      </c>
      <c r="B45" s="47" t="s">
        <v>94</v>
      </c>
      <c r="C45" s="12"/>
      <c r="D45" s="6"/>
      <c r="E45" s="12"/>
      <c r="F45" s="15">
        <f>SUM(F37:F44)</f>
        <v>24778039.31922945</v>
      </c>
    </row>
    <row r="46" spans="1:7" x14ac:dyDescent="0.25">
      <c r="A46" s="14">
        <v>10</v>
      </c>
      <c r="B46" s="3" t="s">
        <v>106</v>
      </c>
      <c r="C46" s="12"/>
      <c r="D46" s="49">
        <v>0.05</v>
      </c>
      <c r="E46" s="12"/>
      <c r="F46" s="18">
        <f>F50/1.15*0.05</f>
        <v>1351588.1907735849</v>
      </c>
    </row>
    <row r="47" spans="1:7" x14ac:dyDescent="0.25">
      <c r="A47" s="14">
        <v>11</v>
      </c>
      <c r="B47" s="13" t="s">
        <v>95</v>
      </c>
      <c r="C47" s="12"/>
      <c r="D47" s="49">
        <v>0.103684373606656</v>
      </c>
      <c r="E47" s="12"/>
      <c r="F47" s="18">
        <f>SUM(F45:F46)*D47</f>
        <v>2709234.0609499109</v>
      </c>
    </row>
    <row r="48" spans="1:7" x14ac:dyDescent="0.25">
      <c r="A48" s="14">
        <v>12</v>
      </c>
      <c r="B48" s="2" t="s">
        <v>25</v>
      </c>
      <c r="C48" s="2"/>
      <c r="D48" s="60">
        <v>0.15</v>
      </c>
      <c r="E48" s="6"/>
      <c r="F48" s="18">
        <f>SUM(F45:F47)*D48</f>
        <v>4325829.2356429417</v>
      </c>
    </row>
    <row r="49" spans="1:6" x14ac:dyDescent="0.25">
      <c r="A49" s="11"/>
      <c r="B49" s="1" t="s">
        <v>20</v>
      </c>
      <c r="C49" s="1"/>
      <c r="D49" s="1"/>
      <c r="E49" s="1"/>
      <c r="F49" s="15">
        <f>SUM(F37:F44,F46:F48)</f>
        <v>33164690.806595884</v>
      </c>
    </row>
    <row r="50" spans="1:6" x14ac:dyDescent="0.25">
      <c r="F50" s="59">
        <v>31086528.387792446</v>
      </c>
    </row>
    <row r="51" spans="1:6" x14ac:dyDescent="0.25">
      <c r="B51" s="4" t="s">
        <v>13</v>
      </c>
      <c r="F51" s="16"/>
    </row>
    <row r="52" spans="1:6" ht="30" x14ac:dyDescent="0.25">
      <c r="A52" s="4" t="s">
        <v>1</v>
      </c>
      <c r="B52" s="4" t="s">
        <v>0</v>
      </c>
      <c r="C52" s="4" t="s">
        <v>3</v>
      </c>
      <c r="D52" s="4" t="s">
        <v>4</v>
      </c>
      <c r="E52" s="4" t="s">
        <v>9</v>
      </c>
      <c r="F52" s="17" t="s">
        <v>2</v>
      </c>
    </row>
    <row r="53" spans="1:6" x14ac:dyDescent="0.25">
      <c r="A53" s="14">
        <v>1</v>
      </c>
      <c r="B53" s="3" t="s">
        <v>100</v>
      </c>
      <c r="C53" s="12">
        <f t="shared" ref="C53:C59" si="2">C37</f>
        <v>14857.215573179525</v>
      </c>
      <c r="D53" s="51">
        <f>635-D54</f>
        <v>0</v>
      </c>
      <c r="E53" s="12"/>
      <c r="F53" s="18">
        <f>+C53*D53</f>
        <v>0</v>
      </c>
    </row>
    <row r="54" spans="1:6" x14ac:dyDescent="0.25">
      <c r="A54" s="14">
        <v>2</v>
      </c>
      <c r="B54" s="3" t="s">
        <v>101</v>
      </c>
      <c r="C54" s="12">
        <f t="shared" si="2"/>
        <v>5252</v>
      </c>
      <c r="D54" s="52">
        <v>635</v>
      </c>
      <c r="E54" s="12"/>
      <c r="F54" s="18">
        <f>D54*C54</f>
        <v>3335020</v>
      </c>
    </row>
    <row r="55" spans="1:6" x14ac:dyDescent="0.25">
      <c r="A55" s="14">
        <v>3</v>
      </c>
      <c r="B55" s="3" t="s">
        <v>102</v>
      </c>
      <c r="C55" s="12">
        <f t="shared" si="2"/>
        <v>6000</v>
      </c>
      <c r="D55" s="53">
        <f>D54</f>
        <v>635</v>
      </c>
      <c r="E55" s="12"/>
      <c r="F55" s="18">
        <f>D55*C55</f>
        <v>3810000</v>
      </c>
    </row>
    <row r="56" spans="1:6" ht="28.5" x14ac:dyDescent="0.25">
      <c r="A56" s="14">
        <v>4</v>
      </c>
      <c r="B56" s="13" t="s">
        <v>103</v>
      </c>
      <c r="C56" s="6">
        <f t="shared" si="2"/>
        <v>0</v>
      </c>
      <c r="D56" s="6">
        <v>34</v>
      </c>
      <c r="E56" s="6">
        <v>30</v>
      </c>
      <c r="F56" s="18">
        <f>D56/'[1] DWS 18 04 2020'!E$7*'[1] DWS 18 04 2020'!F$7</f>
        <v>6519313.3772334289</v>
      </c>
    </row>
    <row r="57" spans="1:6" x14ac:dyDescent="0.25">
      <c r="A57" s="14">
        <v>5</v>
      </c>
      <c r="B57" s="3" t="s">
        <v>7</v>
      </c>
      <c r="C57" s="2">
        <f t="shared" si="2"/>
        <v>120</v>
      </c>
      <c r="D57" s="6">
        <f>+$D$9</f>
        <v>23667</v>
      </c>
      <c r="E57" s="6"/>
      <c r="F57" s="18">
        <f>+C57*D57</f>
        <v>2840040</v>
      </c>
    </row>
    <row r="58" spans="1:6" x14ac:dyDescent="0.25">
      <c r="A58" s="14">
        <v>6</v>
      </c>
      <c r="B58" s="3" t="s">
        <v>8</v>
      </c>
      <c r="C58" s="2">
        <f t="shared" si="2"/>
        <v>20</v>
      </c>
      <c r="D58" s="6">
        <f>+$D$10</f>
        <v>15000</v>
      </c>
      <c r="E58" s="6"/>
      <c r="F58" s="18">
        <f>+C58*D58</f>
        <v>300000</v>
      </c>
    </row>
    <row r="59" spans="1:6" x14ac:dyDescent="0.25">
      <c r="A59" s="14">
        <v>7</v>
      </c>
      <c r="B59" s="3" t="s">
        <v>104</v>
      </c>
      <c r="C59" s="2">
        <f t="shared" si="2"/>
        <v>750</v>
      </c>
      <c r="D59" s="6">
        <v>1500</v>
      </c>
      <c r="E59" s="6"/>
      <c r="F59" s="18">
        <f>+C59*D59</f>
        <v>1125000</v>
      </c>
    </row>
    <row r="60" spans="1:6" x14ac:dyDescent="0.25">
      <c r="A60" s="14">
        <v>8</v>
      </c>
      <c r="B60" s="13" t="s">
        <v>105</v>
      </c>
      <c r="C60" s="2"/>
      <c r="D60" s="60">
        <v>0.01</v>
      </c>
      <c r="E60" s="6"/>
      <c r="F60" s="18">
        <f>D60*F66*G$12</f>
        <v>212631.5951519497</v>
      </c>
    </row>
    <row r="61" spans="1:6" x14ac:dyDescent="0.25">
      <c r="A61" s="14">
        <v>9</v>
      </c>
      <c r="B61" s="47" t="s">
        <v>94</v>
      </c>
      <c r="C61" s="2"/>
      <c r="D61" s="6"/>
      <c r="E61" s="6"/>
      <c r="F61" s="15">
        <f>SUM(F53:F60)</f>
        <v>18142004.97238538</v>
      </c>
    </row>
    <row r="62" spans="1:6" x14ac:dyDescent="0.25">
      <c r="A62" s="14">
        <v>10</v>
      </c>
      <c r="B62" s="3" t="s">
        <v>106</v>
      </c>
      <c r="C62" s="2"/>
      <c r="D62" s="60">
        <v>0.05</v>
      </c>
      <c r="E62" s="6"/>
      <c r="F62" s="18">
        <f>F66/1.15*0.05</f>
        <v>1005762.267326874</v>
      </c>
    </row>
    <row r="63" spans="1:6" x14ac:dyDescent="0.25">
      <c r="A63" s="14">
        <v>11</v>
      </c>
      <c r="B63" s="13" t="s">
        <v>95</v>
      </c>
      <c r="C63" s="2"/>
      <c r="D63" s="60">
        <v>0.103684373606656</v>
      </c>
      <c r="E63" s="6"/>
      <c r="F63" s="18">
        <f>SUM(F61:F62)*D63</f>
        <v>1985324.2522156136</v>
      </c>
    </row>
    <row r="64" spans="1:6" x14ac:dyDescent="0.25">
      <c r="A64" s="14">
        <v>12</v>
      </c>
      <c r="B64" s="2" t="s">
        <v>25</v>
      </c>
      <c r="C64" s="7"/>
      <c r="D64" s="10">
        <v>0.15</v>
      </c>
      <c r="E64" s="8"/>
      <c r="F64" s="19">
        <f>SUM(F61:F63)*D64</f>
        <v>3169963.7237891797</v>
      </c>
    </row>
    <row r="65" spans="1:6" x14ac:dyDescent="0.25">
      <c r="A65" s="11"/>
      <c r="B65" s="1" t="s">
        <v>20</v>
      </c>
      <c r="C65" s="1"/>
      <c r="D65" s="1"/>
      <c r="E65" s="1"/>
      <c r="F65" s="15">
        <f>SUM(F53:F60,F62:F64)</f>
        <v>24303055.215717047</v>
      </c>
    </row>
    <row r="66" spans="1:6" x14ac:dyDescent="0.25">
      <c r="F66" s="59">
        <v>23132532.148518097</v>
      </c>
    </row>
    <row r="67" spans="1:6" x14ac:dyDescent="0.25">
      <c r="B67" s="4" t="s">
        <v>14</v>
      </c>
      <c r="F67" s="16"/>
    </row>
    <row r="68" spans="1:6" ht="30" x14ac:dyDescent="0.25">
      <c r="A68" s="4" t="s">
        <v>1</v>
      </c>
      <c r="B68" s="4" t="s">
        <v>0</v>
      </c>
      <c r="C68" s="4" t="s">
        <v>3</v>
      </c>
      <c r="D68" s="4" t="s">
        <v>4</v>
      </c>
      <c r="E68" s="4" t="s">
        <v>9</v>
      </c>
      <c r="F68" s="17" t="s">
        <v>2</v>
      </c>
    </row>
    <row r="69" spans="1:6" x14ac:dyDescent="0.25">
      <c r="A69" s="14">
        <v>1</v>
      </c>
      <c r="B69" s="3" t="s">
        <v>100</v>
      </c>
      <c r="C69" s="12">
        <f t="shared" ref="C69:C75" si="3">C53</f>
        <v>14857.215573179525</v>
      </c>
      <c r="D69" s="51">
        <f>129-D70</f>
        <v>0</v>
      </c>
      <c r="E69" s="12"/>
      <c r="F69" s="18">
        <f>+C69*D69</f>
        <v>0</v>
      </c>
    </row>
    <row r="70" spans="1:6" x14ac:dyDescent="0.25">
      <c r="A70" s="14">
        <v>2</v>
      </c>
      <c r="B70" s="3" t="s">
        <v>101</v>
      </c>
      <c r="C70" s="12">
        <f t="shared" si="3"/>
        <v>5252</v>
      </c>
      <c r="D70" s="52">
        <v>129</v>
      </c>
      <c r="E70" s="12"/>
      <c r="F70" s="18">
        <f>D70*C70</f>
        <v>677508</v>
      </c>
    </row>
    <row r="71" spans="1:6" x14ac:dyDescent="0.25">
      <c r="A71" s="14">
        <v>3</v>
      </c>
      <c r="B71" s="3" t="s">
        <v>102</v>
      </c>
      <c r="C71" s="12">
        <f t="shared" si="3"/>
        <v>6000</v>
      </c>
      <c r="D71" s="53">
        <f>D70</f>
        <v>129</v>
      </c>
      <c r="E71" s="12"/>
      <c r="F71" s="18">
        <f>D71*C71</f>
        <v>774000</v>
      </c>
    </row>
    <row r="72" spans="1:6" ht="28.5" x14ac:dyDescent="0.25">
      <c r="A72" s="14">
        <v>4</v>
      </c>
      <c r="B72" s="13" t="s">
        <v>103</v>
      </c>
      <c r="C72" s="6">
        <f t="shared" si="3"/>
        <v>0</v>
      </c>
      <c r="D72" s="6">
        <v>30</v>
      </c>
      <c r="E72" s="6">
        <v>30</v>
      </c>
      <c r="F72" s="18">
        <f>D72/'[1] DWS 18 04 2020'!E$7*'[1] DWS 18 04 2020'!F$7</f>
        <v>5752335.3328530258</v>
      </c>
    </row>
    <row r="73" spans="1:6" x14ac:dyDescent="0.25">
      <c r="A73" s="14">
        <v>5</v>
      </c>
      <c r="B73" s="13" t="s">
        <v>7</v>
      </c>
      <c r="C73" s="6">
        <f t="shared" si="3"/>
        <v>120</v>
      </c>
      <c r="D73" s="6">
        <f>+$D$9</f>
        <v>23667</v>
      </c>
      <c r="E73" s="6"/>
      <c r="F73" s="18">
        <f>+C73*D73</f>
        <v>2840040</v>
      </c>
    </row>
    <row r="74" spans="1:6" x14ac:dyDescent="0.25">
      <c r="A74" s="14">
        <v>6</v>
      </c>
      <c r="B74" s="13" t="s">
        <v>8</v>
      </c>
      <c r="C74" s="6">
        <f t="shared" si="3"/>
        <v>20</v>
      </c>
      <c r="D74" s="6">
        <f>+$D$10</f>
        <v>15000</v>
      </c>
      <c r="E74" s="6"/>
      <c r="F74" s="18">
        <f>+C74*D74</f>
        <v>300000</v>
      </c>
    </row>
    <row r="75" spans="1:6" x14ac:dyDescent="0.25">
      <c r="A75" s="14">
        <v>7</v>
      </c>
      <c r="B75" s="13" t="s">
        <v>104</v>
      </c>
      <c r="C75" s="6">
        <f t="shared" si="3"/>
        <v>750</v>
      </c>
      <c r="D75" s="6">
        <v>1500</v>
      </c>
      <c r="E75" s="6"/>
      <c r="F75" s="18">
        <f>+C75*D75</f>
        <v>1125000</v>
      </c>
    </row>
    <row r="76" spans="1:6" x14ac:dyDescent="0.25">
      <c r="A76" s="14">
        <v>8</v>
      </c>
      <c r="B76" s="13" t="s">
        <v>105</v>
      </c>
      <c r="C76" s="6"/>
      <c r="D76" s="60">
        <v>0.01</v>
      </c>
      <c r="E76" s="6"/>
      <c r="F76" s="18">
        <f>D76*F82*G$12</f>
        <v>137259.1128520807</v>
      </c>
    </row>
    <row r="77" spans="1:6" x14ac:dyDescent="0.25">
      <c r="A77" s="14">
        <v>9</v>
      </c>
      <c r="B77" s="47" t="s">
        <v>94</v>
      </c>
      <c r="C77" s="6"/>
      <c r="D77" s="6"/>
      <c r="E77" s="6"/>
      <c r="F77" s="15">
        <f>SUM(F69:F76)</f>
        <v>11606142.445705106</v>
      </c>
    </row>
    <row r="78" spans="1:6" x14ac:dyDescent="0.25">
      <c r="A78" s="14">
        <v>10</v>
      </c>
      <c r="B78" s="3" t="s">
        <v>106</v>
      </c>
      <c r="C78" s="6"/>
      <c r="D78" s="60">
        <v>0.05</v>
      </c>
      <c r="E78" s="6"/>
      <c r="F78" s="18">
        <f>F82/1.15*0.05</f>
        <v>649245.17193567264</v>
      </c>
    </row>
    <row r="79" spans="1:6" x14ac:dyDescent="0.25">
      <c r="A79" s="14">
        <v>11</v>
      </c>
      <c r="B79" s="13" t="s">
        <v>95</v>
      </c>
      <c r="C79" s="6"/>
      <c r="D79" s="60">
        <v>0.103684373606656</v>
      </c>
      <c r="E79" s="6"/>
      <c r="F79" s="18">
        <f>SUM(F77:F78)*D79</f>
        <v>1270692.1884418523</v>
      </c>
    </row>
    <row r="80" spans="1:6" x14ac:dyDescent="0.25">
      <c r="A80" s="14">
        <v>12</v>
      </c>
      <c r="B80" s="2" t="s">
        <v>25</v>
      </c>
      <c r="C80" s="7"/>
      <c r="D80" s="10">
        <v>0.15</v>
      </c>
      <c r="E80" s="8"/>
      <c r="F80" s="19">
        <f>SUM(F77:F79)*D80</f>
        <v>2028911.9709123946</v>
      </c>
    </row>
    <row r="81" spans="1:8" x14ac:dyDescent="0.25">
      <c r="A81" s="11"/>
      <c r="B81" s="1" t="s">
        <v>21</v>
      </c>
      <c r="C81" s="1"/>
      <c r="D81" s="1"/>
      <c r="E81" s="1"/>
      <c r="F81" s="15">
        <f>SUM(F69:F76,F78:F80)</f>
        <v>15554991.776995026</v>
      </c>
    </row>
    <row r="82" spans="1:8" x14ac:dyDescent="0.25">
      <c r="F82" s="59">
        <v>14932638.95452047</v>
      </c>
    </row>
    <row r="83" spans="1:8" x14ac:dyDescent="0.25">
      <c r="B83" s="4" t="s">
        <v>15</v>
      </c>
      <c r="F83" s="16"/>
    </row>
    <row r="84" spans="1:8" ht="30" x14ac:dyDescent="0.25">
      <c r="A84" s="4" t="s">
        <v>1</v>
      </c>
      <c r="B84" s="4" t="s">
        <v>0</v>
      </c>
      <c r="C84" s="4" t="s">
        <v>3</v>
      </c>
      <c r="D84" s="4" t="s">
        <v>4</v>
      </c>
      <c r="E84" s="4" t="s">
        <v>9</v>
      </c>
      <c r="F84" s="17" t="s">
        <v>2</v>
      </c>
    </row>
    <row r="85" spans="1:8" x14ac:dyDescent="0.25">
      <c r="A85" s="14">
        <v>1</v>
      </c>
      <c r="B85" s="3" t="s">
        <v>100</v>
      </c>
      <c r="C85" s="12">
        <f t="shared" ref="C85:C91" si="4">C69</f>
        <v>14857.215573179525</v>
      </c>
      <c r="D85" s="51">
        <f>615-D86</f>
        <v>0</v>
      </c>
      <c r="E85" s="12"/>
      <c r="F85" s="18">
        <f>+C85*D85</f>
        <v>0</v>
      </c>
    </row>
    <row r="86" spans="1:8" x14ac:dyDescent="0.25">
      <c r="A86" s="14">
        <v>2</v>
      </c>
      <c r="B86" s="3" t="s">
        <v>101</v>
      </c>
      <c r="C86" s="12">
        <f t="shared" si="4"/>
        <v>5252</v>
      </c>
      <c r="D86" s="52">
        <v>615</v>
      </c>
      <c r="E86" s="12"/>
      <c r="F86" s="18">
        <f>D86*C86</f>
        <v>3229980</v>
      </c>
      <c r="G86" s="54"/>
      <c r="H86" s="45"/>
    </row>
    <row r="87" spans="1:8" x14ac:dyDescent="0.25">
      <c r="A87" s="14">
        <v>3</v>
      </c>
      <c r="B87" s="3" t="s">
        <v>102</v>
      </c>
      <c r="C87" s="12">
        <f t="shared" si="4"/>
        <v>6000</v>
      </c>
      <c r="D87" s="53">
        <f>D86</f>
        <v>615</v>
      </c>
      <c r="E87" s="12"/>
      <c r="F87" s="18">
        <f>D87*C87</f>
        <v>3690000</v>
      </c>
    </row>
    <row r="88" spans="1:8" ht="28.5" x14ac:dyDescent="0.25">
      <c r="A88" s="14">
        <v>4</v>
      </c>
      <c r="B88" s="13" t="s">
        <v>103</v>
      </c>
      <c r="C88" s="6">
        <f t="shared" si="4"/>
        <v>0</v>
      </c>
      <c r="D88" s="6">
        <v>18</v>
      </c>
      <c r="E88" s="6">
        <v>30</v>
      </c>
      <c r="F88" s="18">
        <f>D88/'[1] DWS 18 04 2020'!E$7*'[1] DWS 18 04 2020'!F$7</f>
        <v>3451401.1997118155</v>
      </c>
    </row>
    <row r="89" spans="1:8" x14ac:dyDescent="0.25">
      <c r="A89" s="14">
        <v>5</v>
      </c>
      <c r="B89" s="13" t="s">
        <v>7</v>
      </c>
      <c r="C89" s="6">
        <f t="shared" si="4"/>
        <v>120</v>
      </c>
      <c r="D89" s="6">
        <f>+$D$9</f>
        <v>23667</v>
      </c>
      <c r="E89" s="6"/>
      <c r="F89" s="18">
        <f>+C89*D89</f>
        <v>2840040</v>
      </c>
    </row>
    <row r="90" spans="1:8" x14ac:dyDescent="0.25">
      <c r="A90" s="14">
        <v>6</v>
      </c>
      <c r="B90" s="13" t="s">
        <v>8</v>
      </c>
      <c r="C90" s="6">
        <f t="shared" si="4"/>
        <v>20</v>
      </c>
      <c r="D90" s="6">
        <f>+$D$10</f>
        <v>15000</v>
      </c>
      <c r="E90" s="6"/>
      <c r="F90" s="18">
        <f>+C90*D90</f>
        <v>300000</v>
      </c>
    </row>
    <row r="91" spans="1:8" x14ac:dyDescent="0.25">
      <c r="A91" s="14">
        <v>7</v>
      </c>
      <c r="B91" s="13" t="s">
        <v>104</v>
      </c>
      <c r="C91" s="6">
        <f t="shared" si="4"/>
        <v>750</v>
      </c>
      <c r="D91" s="6">
        <v>1500</v>
      </c>
      <c r="E91" s="6"/>
      <c r="F91" s="18">
        <f>+C91*D91</f>
        <v>1125000</v>
      </c>
    </row>
    <row r="92" spans="1:8" x14ac:dyDescent="0.25">
      <c r="A92" s="14">
        <v>8</v>
      </c>
      <c r="B92" s="13" t="s">
        <v>105</v>
      </c>
      <c r="C92" s="6"/>
      <c r="D92" s="60">
        <v>0.01</v>
      </c>
      <c r="E92" s="6"/>
      <c r="F92" s="18">
        <f>D92*F98*G$12</f>
        <v>174213.76956757999</v>
      </c>
    </row>
    <row r="93" spans="1:8" x14ac:dyDescent="0.25">
      <c r="A93" s="14">
        <v>9</v>
      </c>
      <c r="B93" s="47" t="s">
        <v>94</v>
      </c>
      <c r="C93" s="6"/>
      <c r="D93" s="6"/>
      <c r="E93" s="6"/>
      <c r="F93" s="15">
        <f>SUM(F85:F92)</f>
        <v>14810634.969279395</v>
      </c>
    </row>
    <row r="94" spans="1:8" x14ac:dyDescent="0.25">
      <c r="A94" s="14">
        <v>10</v>
      </c>
      <c r="B94" s="3" t="s">
        <v>106</v>
      </c>
      <c r="C94" s="6"/>
      <c r="D94" s="60">
        <v>0.05</v>
      </c>
      <c r="E94" s="6"/>
      <c r="F94" s="18">
        <f>F98/1.15*0.05</f>
        <v>824043.27425864292</v>
      </c>
    </row>
    <row r="95" spans="1:8" x14ac:dyDescent="0.25">
      <c r="A95" s="14">
        <v>11</v>
      </c>
      <c r="B95" s="13" t="s">
        <v>95</v>
      </c>
      <c r="C95" s="6"/>
      <c r="D95" s="60">
        <v>0.103684373606656</v>
      </c>
      <c r="E95" s="6"/>
      <c r="F95" s="18">
        <f>SUM(F93:F94)*D95</f>
        <v>1621071.8202228541</v>
      </c>
    </row>
    <row r="96" spans="1:8" x14ac:dyDescent="0.25">
      <c r="A96" s="14">
        <v>12</v>
      </c>
      <c r="B96" s="2" t="s">
        <v>25</v>
      </c>
      <c r="C96" s="7"/>
      <c r="D96" s="10">
        <v>0.15</v>
      </c>
      <c r="E96" s="8"/>
      <c r="F96" s="19">
        <f>SUM(F93:F95)*D96</f>
        <v>2588362.5095641338</v>
      </c>
    </row>
    <row r="97" spans="1:6" x14ac:dyDescent="0.25">
      <c r="A97" s="11"/>
      <c r="B97" s="1" t="s">
        <v>22</v>
      </c>
      <c r="C97" s="1"/>
      <c r="D97" s="1"/>
      <c r="E97" s="1"/>
      <c r="F97" s="15">
        <f>SUM(F85:F92,F94:F96)</f>
        <v>19844112.573325027</v>
      </c>
    </row>
    <row r="98" spans="1:6" x14ac:dyDescent="0.25">
      <c r="F98" s="59">
        <v>18952995.307948783</v>
      </c>
    </row>
    <row r="99" spans="1:6" x14ac:dyDescent="0.25">
      <c r="B99" s="4" t="s">
        <v>16</v>
      </c>
      <c r="F99" s="16"/>
    </row>
    <row r="100" spans="1:6" ht="30" x14ac:dyDescent="0.25">
      <c r="A100" s="4" t="s">
        <v>1</v>
      </c>
      <c r="B100" s="4" t="s">
        <v>0</v>
      </c>
      <c r="C100" s="4" t="s">
        <v>3</v>
      </c>
      <c r="D100" s="4" t="s">
        <v>4</v>
      </c>
      <c r="E100" s="4" t="s">
        <v>9</v>
      </c>
      <c r="F100" s="17" t="s">
        <v>2</v>
      </c>
    </row>
    <row r="101" spans="1:6" x14ac:dyDescent="0.25">
      <c r="A101" s="61">
        <v>1</v>
      </c>
      <c r="B101" s="3" t="s">
        <v>100</v>
      </c>
      <c r="C101" s="62">
        <f t="shared" ref="C101:C107" si="5">C85</f>
        <v>14857.215573179525</v>
      </c>
      <c r="D101" s="63">
        <f>391-D102</f>
        <v>0</v>
      </c>
      <c r="E101" s="64"/>
      <c r="F101" s="65">
        <f>+C101*D101</f>
        <v>0</v>
      </c>
    </row>
    <row r="102" spans="1:6" x14ac:dyDescent="0.25">
      <c r="A102" s="61">
        <v>2</v>
      </c>
      <c r="B102" s="3" t="s">
        <v>101</v>
      </c>
      <c r="C102" s="64">
        <f t="shared" si="5"/>
        <v>5252</v>
      </c>
      <c r="D102" s="66">
        <v>391</v>
      </c>
      <c r="E102" s="64"/>
      <c r="F102" s="65">
        <f>D102*C102</f>
        <v>2053532</v>
      </c>
    </row>
    <row r="103" spans="1:6" x14ac:dyDescent="0.25">
      <c r="A103" s="61">
        <v>3</v>
      </c>
      <c r="B103" s="3" t="s">
        <v>102</v>
      </c>
      <c r="C103" s="64">
        <f t="shared" si="5"/>
        <v>6000</v>
      </c>
      <c r="D103" s="67">
        <f>D102</f>
        <v>391</v>
      </c>
      <c r="E103" s="64"/>
      <c r="F103" s="65">
        <f>D103*C103</f>
        <v>2346000</v>
      </c>
    </row>
    <row r="104" spans="1:6" ht="28.5" x14ac:dyDescent="0.25">
      <c r="A104" s="61">
        <v>4</v>
      </c>
      <c r="B104" s="13" t="s">
        <v>103</v>
      </c>
      <c r="C104" s="6">
        <f t="shared" si="5"/>
        <v>0</v>
      </c>
      <c r="D104" s="64">
        <v>33</v>
      </c>
      <c r="E104" s="64">
        <v>30</v>
      </c>
      <c r="F104" s="65">
        <f>D104/'[1] DWS 18 04 2020'!E$7*'[1] DWS 18 04 2020'!F$7</f>
        <v>6327568.8661383279</v>
      </c>
    </row>
    <row r="105" spans="1:6" x14ac:dyDescent="0.25">
      <c r="A105" s="61">
        <v>5</v>
      </c>
      <c r="B105" s="68" t="s">
        <v>7</v>
      </c>
      <c r="C105" s="64">
        <f t="shared" si="5"/>
        <v>120</v>
      </c>
      <c r="D105" s="6">
        <f>+$D$9</f>
        <v>23667</v>
      </c>
      <c r="E105" s="64"/>
      <c r="F105" s="65">
        <f>+C105*D105</f>
        <v>2840040</v>
      </c>
    </row>
    <row r="106" spans="1:6" x14ac:dyDescent="0.25">
      <c r="A106" s="61">
        <v>6</v>
      </c>
      <c r="B106" s="68" t="s">
        <v>8</v>
      </c>
      <c r="C106" s="64">
        <f t="shared" si="5"/>
        <v>20</v>
      </c>
      <c r="D106" s="6">
        <f>+$D$10</f>
        <v>15000</v>
      </c>
      <c r="E106" s="64"/>
      <c r="F106" s="65">
        <f>+C106*D106</f>
        <v>300000</v>
      </c>
    </row>
    <row r="107" spans="1:6" x14ac:dyDescent="0.25">
      <c r="A107" s="61">
        <v>7</v>
      </c>
      <c r="B107" s="68" t="s">
        <v>104</v>
      </c>
      <c r="C107" s="64">
        <f t="shared" si="5"/>
        <v>750</v>
      </c>
      <c r="D107" s="6">
        <v>1500</v>
      </c>
      <c r="E107" s="64"/>
      <c r="F107" s="65">
        <f>+C107*D107</f>
        <v>1125000</v>
      </c>
    </row>
    <row r="108" spans="1:6" x14ac:dyDescent="0.25">
      <c r="A108" s="61">
        <v>8</v>
      </c>
      <c r="B108" s="13" t="s">
        <v>108</v>
      </c>
      <c r="C108" s="64"/>
      <c r="D108" s="69">
        <v>0.01</v>
      </c>
      <c r="E108" s="64"/>
      <c r="F108" s="65">
        <f>D108*F114*G$12</f>
        <v>178363.83776322249</v>
      </c>
    </row>
    <row r="109" spans="1:6" x14ac:dyDescent="0.25">
      <c r="A109" s="61">
        <v>9</v>
      </c>
      <c r="B109" s="47" t="s">
        <v>94</v>
      </c>
      <c r="C109" s="64"/>
      <c r="D109" s="6"/>
      <c r="E109" s="64"/>
      <c r="F109" s="15">
        <f>SUM(F101:F108)</f>
        <v>15170504.70390155</v>
      </c>
    </row>
    <row r="110" spans="1:6" x14ac:dyDescent="0.25">
      <c r="A110" s="61">
        <v>10</v>
      </c>
      <c r="B110" s="3" t="s">
        <v>106</v>
      </c>
      <c r="C110" s="64"/>
      <c r="D110" s="69">
        <v>0.05</v>
      </c>
      <c r="E110" s="64"/>
      <c r="F110" s="65">
        <f>F114/1.15*0.05</f>
        <v>843673.3861196189</v>
      </c>
    </row>
    <row r="111" spans="1:6" x14ac:dyDescent="0.25">
      <c r="A111" s="61">
        <v>11</v>
      </c>
      <c r="B111" s="13" t="s">
        <v>95</v>
      </c>
      <c r="C111" s="64"/>
      <c r="D111" s="69">
        <v>0.103684373606656</v>
      </c>
      <c r="E111" s="64"/>
      <c r="F111" s="65">
        <f>SUM(F109:F110)*D111</f>
        <v>1660420.0240892796</v>
      </c>
    </row>
    <row r="112" spans="1:6" x14ac:dyDescent="0.25">
      <c r="A112" s="61">
        <v>12</v>
      </c>
      <c r="B112" s="2" t="s">
        <v>25</v>
      </c>
      <c r="C112" s="70"/>
      <c r="D112" s="71">
        <v>0.15</v>
      </c>
      <c r="E112" s="72"/>
      <c r="F112" s="18">
        <f>SUM(F109:F111)*D112</f>
        <v>2651189.7171165668</v>
      </c>
    </row>
    <row r="113" spans="1:6" x14ac:dyDescent="0.25">
      <c r="A113" s="61"/>
      <c r="B113" s="1" t="s">
        <v>22</v>
      </c>
      <c r="C113" s="1"/>
      <c r="D113" s="1"/>
      <c r="E113" s="1"/>
      <c r="F113" s="15">
        <f>SUM(F101:F108,F110:F112)</f>
        <v>20325787.831227016</v>
      </c>
    </row>
    <row r="114" spans="1:6" x14ac:dyDescent="0.25">
      <c r="F114" s="59">
        <v>19404487.88075123</v>
      </c>
    </row>
    <row r="115" spans="1:6" x14ac:dyDescent="0.25">
      <c r="B115" s="4" t="s">
        <v>17</v>
      </c>
      <c r="F115" s="16"/>
    </row>
    <row r="116" spans="1:6" ht="30" x14ac:dyDescent="0.25">
      <c r="A116" s="4" t="s">
        <v>1</v>
      </c>
      <c r="B116" s="4" t="s">
        <v>0</v>
      </c>
      <c r="C116" s="4" t="s">
        <v>3</v>
      </c>
      <c r="D116" s="4" t="s">
        <v>4</v>
      </c>
      <c r="E116" s="4" t="s">
        <v>9</v>
      </c>
      <c r="F116" s="17" t="s">
        <v>2</v>
      </c>
    </row>
    <row r="117" spans="1:6" x14ac:dyDescent="0.25">
      <c r="A117" s="14">
        <v>1</v>
      </c>
      <c r="B117" s="3" t="s">
        <v>100</v>
      </c>
      <c r="C117" s="12">
        <f t="shared" ref="C117:C123" si="6">C101</f>
        <v>14857.215573179525</v>
      </c>
      <c r="D117" s="51">
        <f>635-D118</f>
        <v>535</v>
      </c>
      <c r="E117" s="12"/>
      <c r="F117" s="18">
        <f>+C117*D117</f>
        <v>7948610.3316510459</v>
      </c>
    </row>
    <row r="118" spans="1:6" x14ac:dyDescent="0.25">
      <c r="A118" s="14">
        <v>2</v>
      </c>
      <c r="B118" s="3" t="s">
        <v>101</v>
      </c>
      <c r="C118" s="12">
        <f t="shared" si="6"/>
        <v>5252</v>
      </c>
      <c r="D118" s="52">
        <v>100</v>
      </c>
      <c r="E118" s="12"/>
      <c r="F118" s="18">
        <f>D118*C118</f>
        <v>525200</v>
      </c>
    </row>
    <row r="119" spans="1:6" x14ac:dyDescent="0.25">
      <c r="A119" s="14">
        <v>3</v>
      </c>
      <c r="B119" s="3" t="s">
        <v>102</v>
      </c>
      <c r="C119" s="12">
        <f t="shared" si="6"/>
        <v>6000</v>
      </c>
      <c r="D119" s="53">
        <f>D118</f>
        <v>100</v>
      </c>
      <c r="E119" s="12"/>
      <c r="F119" s="18">
        <f>D119*C119</f>
        <v>600000</v>
      </c>
    </row>
    <row r="120" spans="1:6" ht="28.5" x14ac:dyDescent="0.25">
      <c r="A120" s="14">
        <v>4</v>
      </c>
      <c r="B120" s="13" t="s">
        <v>103</v>
      </c>
      <c r="C120" s="6">
        <f t="shared" si="6"/>
        <v>0</v>
      </c>
      <c r="D120" s="6">
        <v>50</v>
      </c>
      <c r="E120" s="6">
        <v>30</v>
      </c>
      <c r="F120" s="18">
        <f>D120/'[1] DWS 18 04 2020'!E$7*'[1] DWS 18 04 2020'!F$7</f>
        <v>9587225.5547550432</v>
      </c>
    </row>
    <row r="121" spans="1:6" x14ac:dyDescent="0.25">
      <c r="A121" s="14">
        <v>5</v>
      </c>
      <c r="B121" s="13" t="s">
        <v>7</v>
      </c>
      <c r="C121" s="6">
        <f t="shared" si="6"/>
        <v>120</v>
      </c>
      <c r="D121" s="6">
        <f>+$D$9</f>
        <v>23667</v>
      </c>
      <c r="E121" s="6"/>
      <c r="F121" s="18">
        <f>+C121*D121</f>
        <v>2840040</v>
      </c>
    </row>
    <row r="122" spans="1:6" x14ac:dyDescent="0.25">
      <c r="A122" s="14">
        <v>6</v>
      </c>
      <c r="B122" s="13" t="s">
        <v>8</v>
      </c>
      <c r="C122" s="6">
        <f t="shared" si="6"/>
        <v>20</v>
      </c>
      <c r="D122" s="6">
        <f>+$D$10</f>
        <v>15000</v>
      </c>
      <c r="E122" s="6"/>
      <c r="F122" s="18">
        <f>+C122*D122</f>
        <v>300000</v>
      </c>
    </row>
    <row r="123" spans="1:6" x14ac:dyDescent="0.25">
      <c r="A123" s="14">
        <v>7</v>
      </c>
      <c r="B123" s="13" t="s">
        <v>104</v>
      </c>
      <c r="C123" s="6">
        <f t="shared" si="6"/>
        <v>750</v>
      </c>
      <c r="D123" s="6">
        <v>1500</v>
      </c>
      <c r="E123" s="6"/>
      <c r="F123" s="18">
        <f>+C123*D123</f>
        <v>1125000</v>
      </c>
    </row>
    <row r="124" spans="1:6" x14ac:dyDescent="0.25">
      <c r="A124" s="14">
        <v>11</v>
      </c>
      <c r="B124" s="13" t="s">
        <v>105</v>
      </c>
      <c r="C124" s="64"/>
      <c r="D124" s="69">
        <v>0.01</v>
      </c>
      <c r="E124" s="64"/>
      <c r="F124" s="65">
        <f>D124*F130*G$12</f>
        <v>270926.53390166903</v>
      </c>
    </row>
    <row r="125" spans="1:6" x14ac:dyDescent="0.25">
      <c r="A125" s="14">
        <v>9</v>
      </c>
      <c r="B125" s="47" t="s">
        <v>94</v>
      </c>
      <c r="C125" s="6"/>
      <c r="D125" s="6"/>
      <c r="E125" s="6"/>
      <c r="F125" s="15">
        <f>SUM(F117:F124)</f>
        <v>23197002.420307759</v>
      </c>
    </row>
    <row r="126" spans="1:6" x14ac:dyDescent="0.25">
      <c r="A126" s="14">
        <v>10</v>
      </c>
      <c r="B126" s="3" t="s">
        <v>106</v>
      </c>
      <c r="C126" s="64"/>
      <c r="D126" s="69">
        <v>0.05</v>
      </c>
      <c r="E126" s="64"/>
      <c r="F126" s="65">
        <f>F130/1.15*0.05</f>
        <v>1281501.3912736254</v>
      </c>
    </row>
    <row r="127" spans="1:6" x14ac:dyDescent="0.25">
      <c r="A127" s="14">
        <v>12</v>
      </c>
      <c r="B127" s="13" t="s">
        <v>95</v>
      </c>
      <c r="C127" s="64"/>
      <c r="D127" s="69">
        <v>0.103684373606656</v>
      </c>
      <c r="E127" s="64"/>
      <c r="F127" s="65">
        <f>SUM(F125:F126)*D127</f>
        <v>2538038.3345319573</v>
      </c>
    </row>
    <row r="128" spans="1:6" x14ac:dyDescent="0.25">
      <c r="A128" s="14">
        <v>13</v>
      </c>
      <c r="B128" s="2" t="s">
        <v>25</v>
      </c>
      <c r="C128" s="7"/>
      <c r="D128" s="10">
        <v>0.15</v>
      </c>
      <c r="E128" s="8"/>
      <c r="F128" s="19">
        <f>SUM(F125:F127)*D128</f>
        <v>4052481.3219170012</v>
      </c>
    </row>
    <row r="129" spans="1:7" x14ac:dyDescent="0.25">
      <c r="A129" s="11"/>
      <c r="B129" s="1" t="s">
        <v>23</v>
      </c>
      <c r="C129" s="1"/>
      <c r="D129" s="1"/>
      <c r="E129" s="1"/>
      <c r="F129" s="15">
        <f>SUM(F117:F124,F126:F128)</f>
        <v>31069023.468030345</v>
      </c>
    </row>
    <row r="130" spans="1:7" x14ac:dyDescent="0.25">
      <c r="F130" s="59">
        <v>29474531.999293383</v>
      </c>
    </row>
    <row r="131" spans="1:7" x14ac:dyDescent="0.25">
      <c r="B131" s="4" t="s">
        <v>18</v>
      </c>
      <c r="F131" s="16"/>
    </row>
    <row r="132" spans="1:7" ht="30" x14ac:dyDescent="0.25">
      <c r="A132" s="4" t="s">
        <v>1</v>
      </c>
      <c r="B132" s="4" t="s">
        <v>0</v>
      </c>
      <c r="C132" s="4" t="s">
        <v>3</v>
      </c>
      <c r="D132" s="4" t="s">
        <v>4</v>
      </c>
      <c r="E132" s="4" t="s">
        <v>9</v>
      </c>
      <c r="F132" s="17" t="s">
        <v>2</v>
      </c>
    </row>
    <row r="133" spans="1:7" x14ac:dyDescent="0.25">
      <c r="A133" s="14">
        <v>1</v>
      </c>
      <c r="B133" s="3" t="s">
        <v>100</v>
      </c>
      <c r="C133" s="12">
        <f t="shared" ref="C133:C139" si="7">C117</f>
        <v>14857.215573179525</v>
      </c>
      <c r="D133" s="51">
        <f>1000-D134</f>
        <v>0</v>
      </c>
      <c r="E133" s="12"/>
      <c r="F133" s="18">
        <f>+C133*D133</f>
        <v>0</v>
      </c>
    </row>
    <row r="134" spans="1:7" x14ac:dyDescent="0.25">
      <c r="A134" s="14">
        <v>2</v>
      </c>
      <c r="B134" s="3" t="s">
        <v>101</v>
      </c>
      <c r="C134" s="12">
        <f t="shared" si="7"/>
        <v>5252</v>
      </c>
      <c r="D134" s="52">
        <v>1000</v>
      </c>
      <c r="E134" s="12"/>
      <c r="F134" s="18">
        <f>D134*C134</f>
        <v>5252000</v>
      </c>
    </row>
    <row r="135" spans="1:7" x14ac:dyDescent="0.25">
      <c r="A135" s="14">
        <v>3</v>
      </c>
      <c r="B135" s="3" t="s">
        <v>102</v>
      </c>
      <c r="C135" s="12">
        <f t="shared" si="7"/>
        <v>6000</v>
      </c>
      <c r="D135" s="53">
        <f>D134</f>
        <v>1000</v>
      </c>
      <c r="E135" s="12"/>
      <c r="F135" s="18">
        <f>D135*C135</f>
        <v>6000000</v>
      </c>
    </row>
    <row r="136" spans="1:7" ht="28.5" x14ac:dyDescent="0.25">
      <c r="A136" s="14">
        <v>4</v>
      </c>
      <c r="B136" s="13" t="s">
        <v>103</v>
      </c>
      <c r="C136" s="6">
        <f t="shared" si="7"/>
        <v>0</v>
      </c>
      <c r="D136" s="6">
        <v>35</v>
      </c>
      <c r="E136" s="6">
        <v>30</v>
      </c>
      <c r="F136" s="18">
        <f>D136/'[1] DWS 18 04 2020'!E$7*'[1] DWS 18 04 2020'!F$7</f>
        <v>6711057.8883285299</v>
      </c>
      <c r="G136" s="16"/>
    </row>
    <row r="137" spans="1:7" x14ac:dyDescent="0.25">
      <c r="A137" s="14">
        <v>5</v>
      </c>
      <c r="B137" s="3" t="s">
        <v>7</v>
      </c>
      <c r="C137" s="2">
        <f t="shared" si="7"/>
        <v>120</v>
      </c>
      <c r="D137" s="6">
        <f>+$D$9</f>
        <v>23667</v>
      </c>
      <c r="E137" s="6"/>
      <c r="F137" s="18">
        <f>+C137*D137</f>
        <v>2840040</v>
      </c>
    </row>
    <row r="138" spans="1:7" x14ac:dyDescent="0.25">
      <c r="A138" s="14">
        <v>6</v>
      </c>
      <c r="B138" s="3" t="s">
        <v>8</v>
      </c>
      <c r="C138" s="2">
        <f t="shared" si="7"/>
        <v>20</v>
      </c>
      <c r="D138" s="6">
        <f>+$D$10</f>
        <v>15000</v>
      </c>
      <c r="E138" s="6"/>
      <c r="F138" s="18">
        <f>+C138*D138</f>
        <v>300000</v>
      </c>
    </row>
    <row r="139" spans="1:7" x14ac:dyDescent="0.25">
      <c r="A139" s="14">
        <v>7</v>
      </c>
      <c r="B139" s="3" t="s">
        <v>104</v>
      </c>
      <c r="C139" s="2">
        <f t="shared" si="7"/>
        <v>750</v>
      </c>
      <c r="D139" s="6">
        <v>1500</v>
      </c>
      <c r="E139" s="6"/>
      <c r="F139" s="18">
        <f>+C139*D139</f>
        <v>1125000</v>
      </c>
    </row>
    <row r="140" spans="1:7" x14ac:dyDescent="0.25">
      <c r="A140" s="14">
        <v>8</v>
      </c>
      <c r="B140" s="13" t="s">
        <v>105</v>
      </c>
      <c r="C140" s="64"/>
      <c r="D140" s="69">
        <v>0.01</v>
      </c>
      <c r="E140" s="64"/>
      <c r="F140" s="65">
        <f>D140*F146*G$12</f>
        <v>262783.4466212297</v>
      </c>
    </row>
    <row r="141" spans="1:7" x14ac:dyDescent="0.25">
      <c r="A141" s="14">
        <v>9</v>
      </c>
      <c r="B141" s="47" t="s">
        <v>94</v>
      </c>
      <c r="C141" s="2"/>
      <c r="D141" s="6"/>
      <c r="E141" s="6"/>
      <c r="F141" s="15">
        <f>SUM(F133:F140)</f>
        <v>22490881.334949758</v>
      </c>
    </row>
    <row r="142" spans="1:7" x14ac:dyDescent="0.25">
      <c r="A142" s="14">
        <v>10</v>
      </c>
      <c r="B142" s="3" t="s">
        <v>106</v>
      </c>
      <c r="C142" s="64"/>
      <c r="D142" s="69">
        <v>0.05</v>
      </c>
      <c r="E142" s="64"/>
      <c r="F142" s="65">
        <f>F146/1.15*0.05</f>
        <v>1242984.0207936526</v>
      </c>
    </row>
    <row r="143" spans="1:7" x14ac:dyDescent="0.25">
      <c r="A143" s="14">
        <v>11</v>
      </c>
      <c r="B143" s="13" t="s">
        <v>95</v>
      </c>
      <c r="C143" s="64"/>
      <c r="D143" s="69">
        <v>0.103684373606656</v>
      </c>
      <c r="E143" s="64"/>
      <c r="F143" s="65">
        <f>SUM(F141:F142)*D143</f>
        <v>2460830.9626749693</v>
      </c>
    </row>
    <row r="144" spans="1:7" x14ac:dyDescent="0.25">
      <c r="A144" s="14">
        <v>12</v>
      </c>
      <c r="B144" s="2" t="s">
        <v>25</v>
      </c>
      <c r="C144" s="7"/>
      <c r="D144" s="10">
        <v>0.15</v>
      </c>
      <c r="E144" s="8"/>
      <c r="F144" s="19">
        <f>SUM(F141:F143)*D144</f>
        <v>3929204.4477627566</v>
      </c>
    </row>
    <row r="145" spans="1:8" x14ac:dyDescent="0.25">
      <c r="A145" s="11"/>
      <c r="B145" s="1" t="s">
        <v>24</v>
      </c>
      <c r="C145" s="1"/>
      <c r="D145" s="1"/>
      <c r="E145" s="1"/>
      <c r="F145" s="15">
        <f>SUM(F133:F140,F142:F144)</f>
        <v>30123900.766181137</v>
      </c>
    </row>
    <row r="146" spans="1:8" x14ac:dyDescent="0.25">
      <c r="F146" s="73">
        <v>28588632.478254005</v>
      </c>
    </row>
    <row r="147" spans="1:8" x14ac:dyDescent="0.25">
      <c r="B147" s="4" t="s">
        <v>19</v>
      </c>
    </row>
    <row r="148" spans="1:8" ht="30" x14ac:dyDescent="0.25">
      <c r="A148" s="4" t="s">
        <v>1</v>
      </c>
      <c r="B148" s="4" t="s">
        <v>0</v>
      </c>
      <c r="C148" s="4" t="s">
        <v>3</v>
      </c>
      <c r="D148" s="4" t="s">
        <v>4</v>
      </c>
      <c r="E148" s="4" t="s">
        <v>9</v>
      </c>
      <c r="F148" s="17" t="s">
        <v>2</v>
      </c>
    </row>
    <row r="149" spans="1:8" x14ac:dyDescent="0.25">
      <c r="A149" s="14">
        <v>1</v>
      </c>
      <c r="B149" s="3" t="s">
        <v>100</v>
      </c>
      <c r="C149" s="12">
        <f>C133</f>
        <v>14857.215573179525</v>
      </c>
      <c r="D149" s="74">
        <f t="shared" ref="D149:D155" si="8">+D5+D21+D37+D53+D69+D85+D101+D117+D133</f>
        <v>5892</v>
      </c>
      <c r="E149" s="12"/>
      <c r="F149" s="18">
        <f>+F5+F21+F37+F53+F69+F85+F101+F117+F133</f>
        <v>87538714.157173753</v>
      </c>
      <c r="G149" s="48">
        <f>'[1] DWS 18 04 2020'!F4</f>
        <v>82427832</v>
      </c>
      <c r="H149" s="16">
        <f>F149-G149</f>
        <v>5110882.1571737528</v>
      </c>
    </row>
    <row r="150" spans="1:8" x14ac:dyDescent="0.25">
      <c r="A150" s="14">
        <v>2</v>
      </c>
      <c r="B150" s="3" t="s">
        <v>101</v>
      </c>
      <c r="C150" s="12">
        <f t="shared" ref="C150:C155" si="9">C134</f>
        <v>5252</v>
      </c>
      <c r="D150" s="52">
        <f t="shared" si="8"/>
        <v>2990</v>
      </c>
      <c r="E150" s="12"/>
      <c r="F150" s="18">
        <f>D150*C150</f>
        <v>15703480</v>
      </c>
      <c r="G150" s="48">
        <f>'[1] DWS 18 04 2020'!F5</f>
        <v>17510168</v>
      </c>
      <c r="H150" s="16">
        <f>F150-G150</f>
        <v>-1806688</v>
      </c>
    </row>
    <row r="151" spans="1:8" x14ac:dyDescent="0.25">
      <c r="A151" s="14">
        <v>3</v>
      </c>
      <c r="B151" s="3" t="s">
        <v>102</v>
      </c>
      <c r="C151" s="12">
        <f t="shared" si="9"/>
        <v>6000</v>
      </c>
      <c r="D151" s="53">
        <f t="shared" si="8"/>
        <v>2990</v>
      </c>
      <c r="E151" s="12"/>
      <c r="F151" s="18">
        <f>D151*C151</f>
        <v>17940000</v>
      </c>
      <c r="G151" s="48">
        <f>'[1] DWS 18 04 2020'!F6</f>
        <v>20004000</v>
      </c>
      <c r="H151" s="16">
        <f>F151-G151</f>
        <v>-2064000</v>
      </c>
    </row>
    <row r="152" spans="1:8" ht="28.5" x14ac:dyDescent="0.25">
      <c r="A152" s="14">
        <v>4</v>
      </c>
      <c r="B152" s="13" t="s">
        <v>103</v>
      </c>
      <c r="C152" s="6">
        <f t="shared" si="9"/>
        <v>0</v>
      </c>
      <c r="D152" s="12">
        <f t="shared" si="8"/>
        <v>347</v>
      </c>
      <c r="E152" s="6">
        <v>30</v>
      </c>
      <c r="F152" s="18">
        <f>+F8+F24+F40+F56+F72+F88+F104+F120+F136</f>
        <v>66535345.350000001</v>
      </c>
      <c r="G152" s="48">
        <f>'[1] DWS 18 04 2020'!F7</f>
        <v>66535345.349999994</v>
      </c>
      <c r="H152" s="75">
        <f t="shared" ref="H152:H160" si="10">G152-F152</f>
        <v>0</v>
      </c>
    </row>
    <row r="153" spans="1:8" x14ac:dyDescent="0.25">
      <c r="A153" s="14">
        <v>5</v>
      </c>
      <c r="B153" s="3" t="s">
        <v>7</v>
      </c>
      <c r="C153" s="2">
        <f t="shared" si="9"/>
        <v>120</v>
      </c>
      <c r="D153" s="12">
        <f t="shared" si="8"/>
        <v>213003</v>
      </c>
      <c r="E153" s="6"/>
      <c r="F153" s="18">
        <f>+F9+F25+F41+F57+F73+F89+F105+F121+F137</f>
        <v>25560360</v>
      </c>
      <c r="G153" s="48">
        <f>'[1] DWS 18 04 2020'!F8</f>
        <v>25560335</v>
      </c>
      <c r="H153" s="75">
        <f t="shared" si="10"/>
        <v>-25</v>
      </c>
    </row>
    <row r="154" spans="1:8" x14ac:dyDescent="0.25">
      <c r="A154" s="14">
        <v>6</v>
      </c>
      <c r="B154" s="3" t="s">
        <v>109</v>
      </c>
      <c r="C154" s="2">
        <f t="shared" si="9"/>
        <v>20</v>
      </c>
      <c r="D154" s="12">
        <f t="shared" si="8"/>
        <v>135000</v>
      </c>
      <c r="E154" s="6"/>
      <c r="F154" s="18">
        <f>+F10+F26+F42+F58+F74+F90+F106+F122+F138</f>
        <v>2700000</v>
      </c>
      <c r="G154" s="48">
        <f>'[1] DWS 18 04 2020'!F9</f>
        <v>2700000</v>
      </c>
      <c r="H154" s="75">
        <f t="shared" si="10"/>
        <v>0</v>
      </c>
    </row>
    <row r="155" spans="1:8" x14ac:dyDescent="0.25">
      <c r="A155" s="14">
        <v>7</v>
      </c>
      <c r="B155" s="3" t="s">
        <v>104</v>
      </c>
      <c r="C155" s="2">
        <f t="shared" si="9"/>
        <v>750</v>
      </c>
      <c r="D155" s="12">
        <f t="shared" si="8"/>
        <v>13500</v>
      </c>
      <c r="E155" s="6"/>
      <c r="F155" s="18">
        <f>+F11+F27+F43+F59+F75+F91+F107+F123+F139</f>
        <v>10125000</v>
      </c>
      <c r="G155" s="48">
        <f>'[1] DWS 18 04 2020'!F10</f>
        <v>10125000</v>
      </c>
      <c r="H155" s="75">
        <f t="shared" si="10"/>
        <v>0</v>
      </c>
    </row>
    <row r="156" spans="1:8" x14ac:dyDescent="0.25">
      <c r="A156" s="14">
        <v>8</v>
      </c>
      <c r="B156" s="13" t="s">
        <v>107</v>
      </c>
      <c r="C156" s="2"/>
      <c r="D156" s="60">
        <v>0.01</v>
      </c>
      <c r="E156" s="6"/>
      <c r="F156" s="18">
        <f>+F12+F28+F44+F60+F76+F92+F108+F124+F140</f>
        <v>2665512.9999999972</v>
      </c>
      <c r="G156" s="48">
        <f>'[1] DWS 18 04 2020'!F11</f>
        <v>2665513.0434782612</v>
      </c>
      <c r="H156" s="75">
        <f t="shared" si="10"/>
        <v>4.3478264007717371E-2</v>
      </c>
    </row>
    <row r="157" spans="1:8" x14ac:dyDescent="0.25">
      <c r="A157" s="14">
        <v>9</v>
      </c>
      <c r="B157" s="47" t="s">
        <v>94</v>
      </c>
      <c r="C157" s="2"/>
      <c r="D157" s="12"/>
      <c r="E157" s="6"/>
      <c r="F157" s="15">
        <f>SUM(F149:F156)</f>
        <v>228768412.50717375</v>
      </c>
      <c r="G157" s="76">
        <f>SUM(G149:G156)</f>
        <v>227528193.39347824</v>
      </c>
      <c r="H157" s="75">
        <f t="shared" si="10"/>
        <v>-1240219.1136955023</v>
      </c>
    </row>
    <row r="158" spans="1:8" x14ac:dyDescent="0.25">
      <c r="A158" s="14">
        <v>10</v>
      </c>
      <c r="B158" s="3" t="s">
        <v>106</v>
      </c>
      <c r="C158" s="2"/>
      <c r="D158" s="60">
        <v>0.05</v>
      </c>
      <c r="E158" s="6"/>
      <c r="F158" s="18">
        <f>+F14+F30+F46+F62+F78+F94+F110+F126+F142</f>
        <v>12608062.299271485</v>
      </c>
      <c r="G158" s="77">
        <f>'[1] DWS 18 04 2020'!F13</f>
        <v>13982251.732043501</v>
      </c>
      <c r="H158" s="75">
        <f t="shared" si="10"/>
        <v>1374189.4327720162</v>
      </c>
    </row>
    <row r="159" spans="1:8" x14ac:dyDescent="0.25">
      <c r="A159" s="14">
        <v>11</v>
      </c>
      <c r="B159" s="13" t="s">
        <v>95</v>
      </c>
      <c r="C159" s="2"/>
      <c r="D159" s="60">
        <v>0.1</v>
      </c>
      <c r="E159" s="6"/>
      <c r="F159" s="18">
        <f>+F15+F31+F47+F63+F79+F95+F111+F127+F143</f>
        <v>25026968.593689054</v>
      </c>
      <c r="G159" s="16">
        <f>'[1] DWS 18 04 2020'!F14</f>
        <v>25040859.222304389</v>
      </c>
      <c r="H159" s="75">
        <f t="shared" si="10"/>
        <v>13890.62861533463</v>
      </c>
    </row>
    <row r="160" spans="1:8" x14ac:dyDescent="0.25">
      <c r="A160" s="14">
        <v>12</v>
      </c>
      <c r="B160" s="2" t="s">
        <v>25</v>
      </c>
      <c r="C160" s="7"/>
      <c r="D160" s="10">
        <v>0.15</v>
      </c>
      <c r="E160" s="8"/>
      <c r="F160" s="19">
        <f>+F16+F32+F48+F64+F80+F96+F112+F128+F144</f>
        <v>39960516.510020144</v>
      </c>
      <c r="G160" s="16">
        <f>'[1] DWS 18 04 2020'!F15</f>
        <v>39982695.652173914</v>
      </c>
      <c r="H160" s="75">
        <f t="shared" si="10"/>
        <v>22179.142153769732</v>
      </c>
    </row>
    <row r="161" spans="1:8" x14ac:dyDescent="0.25">
      <c r="A161" s="11"/>
      <c r="B161" s="1" t="s">
        <v>24</v>
      </c>
      <c r="C161" s="1"/>
      <c r="D161" s="1"/>
      <c r="E161" s="1"/>
      <c r="F161" s="15">
        <f>SUM(F149:F156,F158:F160)</f>
        <v>306363959.91015446</v>
      </c>
      <c r="G161" s="16">
        <f>SUM(G157:G160)</f>
        <v>306534000.00000006</v>
      </c>
      <c r="H161" s="75">
        <f>F161-G161</f>
        <v>-170040.08984559774</v>
      </c>
    </row>
    <row r="163" spans="1:8" x14ac:dyDescent="0.25">
      <c r="F163" s="78">
        <v>306534000</v>
      </c>
      <c r="G163" s="79"/>
    </row>
    <row r="164" spans="1:8" x14ac:dyDescent="0.25">
      <c r="D164" s="16"/>
      <c r="G164" s="16"/>
    </row>
    <row r="165" spans="1:8" x14ac:dyDescent="0.25">
      <c r="D165" s="16"/>
      <c r="F165" s="75"/>
    </row>
    <row r="167" spans="1:8" x14ac:dyDescent="0.25">
      <c r="D167" s="16"/>
    </row>
    <row r="168" spans="1:8" x14ac:dyDescent="0.25">
      <c r="D168" s="16"/>
    </row>
    <row r="169" spans="1:8" x14ac:dyDescent="0.25">
      <c r="D169" s="16"/>
    </row>
    <row r="170" spans="1:8" x14ac:dyDescent="0.25">
      <c r="D170" s="16"/>
    </row>
    <row r="171" spans="1:8" x14ac:dyDescent="0.25">
      <c r="D171" s="16"/>
    </row>
  </sheetData>
  <pageMargins left="0.7" right="0.7" top="0.75" bottom="0.75" header="0.3" footer="0.3"/>
  <pageSetup paperSize="8" scale="7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showGridLines="0" tabSelected="1" zoomScale="80" zoomScaleNormal="90" workbookViewId="0">
      <selection activeCell="E5" sqref="E5"/>
    </sheetView>
  </sheetViews>
  <sheetFormatPr defaultRowHeight="15" x14ac:dyDescent="0.25"/>
  <cols>
    <col min="3" max="3" width="82.5703125" customWidth="1"/>
    <col min="4" max="4" width="16.5703125" hidden="1" customWidth="1"/>
    <col min="5" max="5" width="13" customWidth="1"/>
    <col min="6" max="6" width="16.42578125" bestFit="1" customWidth="1"/>
    <col min="7" max="7" width="19" customWidth="1"/>
    <col min="8" max="8" width="15.5703125" bestFit="1" customWidth="1"/>
    <col min="9" max="9" width="16.42578125" hidden="1" customWidth="1"/>
    <col min="10" max="10" width="11.5703125" hidden="1" customWidth="1"/>
    <col min="11" max="11" width="14.5703125" hidden="1" customWidth="1"/>
  </cols>
  <sheetData>
    <row r="1" spans="2:12" ht="42" customHeight="1" x14ac:dyDescent="0.25">
      <c r="B1" s="175" t="s">
        <v>10</v>
      </c>
    </row>
    <row r="2" spans="2:12" ht="15.75" thickBot="1" x14ac:dyDescent="0.3">
      <c r="C2" s="20"/>
      <c r="F2" s="16"/>
    </row>
    <row r="3" spans="2:12" ht="72.75" thickBot="1" x14ac:dyDescent="0.3">
      <c r="B3" s="176" t="s">
        <v>1</v>
      </c>
      <c r="C3" s="176" t="s">
        <v>0</v>
      </c>
      <c r="D3" s="176" t="s">
        <v>3</v>
      </c>
      <c r="E3" s="176" t="s">
        <v>4</v>
      </c>
      <c r="F3" s="176" t="s">
        <v>2</v>
      </c>
      <c r="G3" s="176" t="s">
        <v>89</v>
      </c>
      <c r="H3" s="176" t="s">
        <v>90</v>
      </c>
    </row>
    <row r="4" spans="2:12" ht="45.75" customHeight="1" x14ac:dyDescent="0.3">
      <c r="B4" s="177">
        <v>1</v>
      </c>
      <c r="C4" s="178" t="str">
        <f>+'[1]Details per Province'!B149</f>
        <v>Tanks Supplied and Installed by Service Provider</v>
      </c>
      <c r="D4" s="179">
        <f>+'[1]Details per Province'!C149</f>
        <v>14857.215573179525</v>
      </c>
      <c r="E4" s="179">
        <v>5548</v>
      </c>
      <c r="F4" s="179">
        <v>82427832</v>
      </c>
      <c r="G4" s="180">
        <v>61232728.049999997</v>
      </c>
      <c r="H4" s="180">
        <f>F4-G4</f>
        <v>21195103.950000003</v>
      </c>
      <c r="I4" s="80">
        <f>'Details per Province'!D149</f>
        <v>5892</v>
      </c>
      <c r="J4" s="81">
        <f>'Details per Province'!F149</f>
        <v>87538714.157173753</v>
      </c>
      <c r="K4" s="44"/>
      <c r="L4" s="45"/>
    </row>
    <row r="5" spans="2:12" ht="28.5" customHeight="1" x14ac:dyDescent="0.3">
      <c r="B5" s="177">
        <v>2</v>
      </c>
      <c r="C5" s="178" t="s">
        <v>91</v>
      </c>
      <c r="D5" s="179"/>
      <c r="E5" s="179">
        <v>3334</v>
      </c>
      <c r="F5" s="179">
        <v>17510168</v>
      </c>
      <c r="G5" s="180">
        <v>17510168</v>
      </c>
      <c r="H5" s="180">
        <f t="shared" ref="H5:H16" si="0">F5-G5</f>
        <v>0</v>
      </c>
      <c r="I5" s="80">
        <f>'Details per Province'!D150</f>
        <v>2990</v>
      </c>
      <c r="J5" s="81">
        <f>'Details per Province'!F150</f>
        <v>15703480</v>
      </c>
      <c r="K5" s="44"/>
    </row>
    <row r="6" spans="2:12" ht="22.5" customHeight="1" x14ac:dyDescent="0.3">
      <c r="B6" s="177">
        <v>3</v>
      </c>
      <c r="C6" s="178" t="s">
        <v>92</v>
      </c>
      <c r="D6" s="179">
        <f>+'[1]Details per Province'!C151</f>
        <v>6000</v>
      </c>
      <c r="E6" s="179">
        <v>3334</v>
      </c>
      <c r="F6" s="179">
        <v>20004000</v>
      </c>
      <c r="G6" s="180">
        <v>20000000</v>
      </c>
      <c r="H6" s="180">
        <f t="shared" si="0"/>
        <v>4000</v>
      </c>
      <c r="I6" s="80">
        <f>'Details per Province'!D151</f>
        <v>2990</v>
      </c>
      <c r="J6" s="81">
        <f>'Details per Province'!F151</f>
        <v>17940000</v>
      </c>
    </row>
    <row r="7" spans="2:12" ht="37.5" customHeight="1" x14ac:dyDescent="0.3">
      <c r="B7" s="177">
        <v>4</v>
      </c>
      <c r="C7" s="178" t="s">
        <v>93</v>
      </c>
      <c r="D7" s="179">
        <f>+'[1]Details per Province'!C152</f>
        <v>0</v>
      </c>
      <c r="E7" s="179">
        <v>347</v>
      </c>
      <c r="F7" s="179">
        <v>66535345.349999994</v>
      </c>
      <c r="G7" s="180">
        <v>54503920.600000001</v>
      </c>
      <c r="H7" s="180">
        <f t="shared" si="0"/>
        <v>12031424.749999993</v>
      </c>
      <c r="I7" s="80">
        <f>'Details per Province'!D152</f>
        <v>347</v>
      </c>
      <c r="J7" s="46">
        <f>'Details per Province'!F152</f>
        <v>66535345.350000001</v>
      </c>
      <c r="K7" s="44"/>
    </row>
    <row r="8" spans="2:12" ht="37.5" customHeight="1" x14ac:dyDescent="0.3">
      <c r="B8" s="177">
        <v>5</v>
      </c>
      <c r="C8" s="178" t="str">
        <f>+'[1]Details per Province'!B153</f>
        <v>Sanitizers that kill 99.9% of germs (for carrying to site and dispensers at all strategic locations</v>
      </c>
      <c r="D8" s="179">
        <f>+'[1]Details per Province'!C153</f>
        <v>120</v>
      </c>
      <c r="E8" s="179">
        <v>213002.79166666666</v>
      </c>
      <c r="F8" s="179">
        <v>25560335</v>
      </c>
      <c r="G8" s="180">
        <v>25560335</v>
      </c>
      <c r="H8" s="180">
        <f t="shared" si="0"/>
        <v>0</v>
      </c>
      <c r="I8" s="80">
        <f>'Details per Province'!D153</f>
        <v>213003</v>
      </c>
      <c r="J8" s="46">
        <f>'Details per Province'!F153</f>
        <v>25560360</v>
      </c>
    </row>
    <row r="9" spans="2:12" ht="27" customHeight="1" x14ac:dyDescent="0.3">
      <c r="B9" s="177">
        <v>6</v>
      </c>
      <c r="C9" s="178" t="str">
        <f>+'[1]Details per Province'!B154</f>
        <v>Hand Soaps</v>
      </c>
      <c r="D9" s="179">
        <f>+'[1]Details per Province'!C154</f>
        <v>20</v>
      </c>
      <c r="E9" s="179">
        <v>135000</v>
      </c>
      <c r="F9" s="179">
        <v>2700000</v>
      </c>
      <c r="G9" s="181">
        <v>2700000</v>
      </c>
      <c r="H9" s="181">
        <f t="shared" si="0"/>
        <v>0</v>
      </c>
      <c r="I9" s="80">
        <f>'Details per Province'!D154</f>
        <v>135000</v>
      </c>
      <c r="J9" s="46">
        <f>'Details per Province'!F154</f>
        <v>2700000</v>
      </c>
    </row>
    <row r="10" spans="2:12" ht="27" customHeight="1" x14ac:dyDescent="0.3">
      <c r="B10" s="177">
        <v>7</v>
      </c>
      <c r="C10" s="178" t="str">
        <f>+'[1]Details per Province'!B155</f>
        <v>PPE</v>
      </c>
      <c r="D10" s="179">
        <f>+'[1]Details per Province'!C155</f>
        <v>750</v>
      </c>
      <c r="E10" s="179">
        <v>13500</v>
      </c>
      <c r="F10" s="179">
        <v>10125000</v>
      </c>
      <c r="G10" s="181">
        <v>10125000</v>
      </c>
      <c r="H10" s="181">
        <f t="shared" si="0"/>
        <v>0</v>
      </c>
      <c r="I10" s="80">
        <f>'Details per Province'!D155</f>
        <v>13500</v>
      </c>
      <c r="J10" s="46">
        <f>'Details per Province'!F155</f>
        <v>10125000</v>
      </c>
    </row>
    <row r="11" spans="2:12" ht="26.25" customHeight="1" x14ac:dyDescent="0.3">
      <c r="B11" s="177">
        <v>8</v>
      </c>
      <c r="C11" s="178" t="str">
        <f>+'[1]Details per Province'!B156</f>
        <v>Disbursements (travelling, accommodation, charge outs)</v>
      </c>
      <c r="D11" s="179"/>
      <c r="E11" s="182">
        <f>+'[1]Details per Province'!D156</f>
        <v>0.01</v>
      </c>
      <c r="F11" s="179">
        <f>0.01*$F18/1.15</f>
        <v>2665513.0434782612</v>
      </c>
      <c r="G11" s="180">
        <f>0.01*$F18/1.15</f>
        <v>2665513.0434782612</v>
      </c>
      <c r="H11" s="180">
        <f>F11-G11</f>
        <v>0</v>
      </c>
      <c r="I11" s="80">
        <f>'Details per Province'!D156</f>
        <v>0.01</v>
      </c>
      <c r="J11" s="46">
        <f>'Details per Province'!F156</f>
        <v>2665512.9999999972</v>
      </c>
    </row>
    <row r="12" spans="2:12" ht="27" customHeight="1" x14ac:dyDescent="0.3">
      <c r="B12" s="177">
        <v>9</v>
      </c>
      <c r="C12" s="183" t="s">
        <v>94</v>
      </c>
      <c r="D12" s="179"/>
      <c r="E12" s="184"/>
      <c r="F12" s="184">
        <f>SUM(F4:F11)</f>
        <v>227528193.39347824</v>
      </c>
      <c r="G12" s="185">
        <f>SUM(G4:G11)</f>
        <v>194297664.69347826</v>
      </c>
      <c r="H12" s="185">
        <f t="shared" si="0"/>
        <v>33230528.699999988</v>
      </c>
      <c r="I12" s="22">
        <f>'Details per Province'!D157</f>
        <v>0</v>
      </c>
      <c r="J12" s="44">
        <f>'Details per Province'!F157</f>
        <v>228768412.50717375</v>
      </c>
      <c r="K12" s="45">
        <f>J12-F12</f>
        <v>1240219.1136955023</v>
      </c>
    </row>
    <row r="13" spans="2:12" ht="26.25" customHeight="1" x14ac:dyDescent="0.3">
      <c r="B13" s="177">
        <v>10</v>
      </c>
      <c r="C13" s="178" t="str">
        <f>+'[1]Details per Province'!B158</f>
        <v>Implementation Agent fee including project management fees</v>
      </c>
      <c r="D13" s="179"/>
      <c r="E13" s="182">
        <v>5.2456136976159334E-2</v>
      </c>
      <c r="F13" s="179">
        <f>$E13*$F18/1.15</f>
        <v>13982251.732043501</v>
      </c>
      <c r="G13" s="180">
        <f>$E13*$F18/1.15</f>
        <v>13982251.732043501</v>
      </c>
      <c r="H13" s="180">
        <f t="shared" si="0"/>
        <v>0</v>
      </c>
      <c r="I13" s="80">
        <f>'Details per Province'!D158</f>
        <v>0.05</v>
      </c>
      <c r="J13" s="44">
        <f>'Details per Province'!F158</f>
        <v>12608062.299271485</v>
      </c>
      <c r="K13" s="45">
        <f>J13-F13</f>
        <v>-1374189.4327720162</v>
      </c>
    </row>
    <row r="14" spans="2:12" ht="26.25" customHeight="1" x14ac:dyDescent="0.3">
      <c r="B14" s="177">
        <v>11</v>
      </c>
      <c r="C14" s="178" t="s">
        <v>95</v>
      </c>
      <c r="D14" s="179"/>
      <c r="E14" s="182">
        <v>0.103684373606656</v>
      </c>
      <c r="F14" s="179">
        <f>SUM(F12:F13)*E14</f>
        <v>25040859.222304389</v>
      </c>
      <c r="G14" s="180">
        <v>11752891.85</v>
      </c>
      <c r="H14" s="180">
        <f>F14-G14</f>
        <v>13287967.372304389</v>
      </c>
      <c r="I14" s="80">
        <f>'Details per Province'!D159</f>
        <v>0.1</v>
      </c>
      <c r="J14" s="44">
        <f>'Details per Province'!F159</f>
        <v>25026968.593689054</v>
      </c>
      <c r="K14" s="45">
        <f>J14-F14</f>
        <v>-13890.62861533463</v>
      </c>
    </row>
    <row r="15" spans="2:12" ht="25.5" customHeight="1" x14ac:dyDescent="0.3">
      <c r="B15" s="177">
        <v>12</v>
      </c>
      <c r="C15" s="178" t="str">
        <f>+'[1]Details per Province'!B160</f>
        <v>VAT @15%</v>
      </c>
      <c r="D15" s="179"/>
      <c r="E15" s="186">
        <f>+'[1]Details per Province'!D160</f>
        <v>0.15</v>
      </c>
      <c r="F15" s="179">
        <f>SUM(F12:F14)*0.15</f>
        <v>39982695.652173914</v>
      </c>
      <c r="G15" s="180">
        <f>SUM(G12:G14)*0.15</f>
        <v>33004921.241328262</v>
      </c>
      <c r="H15" s="180">
        <f t="shared" si="0"/>
        <v>6977774.4108456522</v>
      </c>
      <c r="I15" s="80">
        <f>'Details per Province'!D160</f>
        <v>0.15</v>
      </c>
      <c r="J15" s="44">
        <f>'Details per Province'!F160</f>
        <v>39960516.510020144</v>
      </c>
      <c r="K15" s="45">
        <f>J15-F15</f>
        <v>-22179.142153769732</v>
      </c>
    </row>
    <row r="16" spans="2:12" ht="22.5" customHeight="1" thickBot="1" x14ac:dyDescent="0.3">
      <c r="B16" s="187"/>
      <c r="C16" s="188" t="s">
        <v>96</v>
      </c>
      <c r="D16" s="189"/>
      <c r="E16" s="189"/>
      <c r="F16" s="190">
        <f>SUM(F4:F11,F13:F15)</f>
        <v>306534000.00000006</v>
      </c>
      <c r="G16" s="191">
        <f>SUM(G4:G11,G13:G15)</f>
        <v>253037729.51685002</v>
      </c>
      <c r="H16" s="191">
        <f t="shared" si="0"/>
        <v>53496270.483150035</v>
      </c>
      <c r="I16" s="80">
        <f>'Details per Province'!D161</f>
        <v>0</v>
      </c>
      <c r="J16" s="44">
        <f>'Details per Province'!F161</f>
        <v>306363959.91015446</v>
      </c>
      <c r="K16" s="45">
        <f>J16-F16</f>
        <v>-170040.08984559774</v>
      </c>
    </row>
    <row r="17" spans="6:9" x14ac:dyDescent="0.25">
      <c r="F17" s="45"/>
      <c r="I17" s="22"/>
    </row>
    <row r="18" spans="6:9" x14ac:dyDescent="0.25">
      <c r="F18" s="169">
        <v>306534000</v>
      </c>
      <c r="G18" s="170"/>
    </row>
    <row r="19" spans="6:9" x14ac:dyDescent="0.25">
      <c r="F19" s="171"/>
      <c r="G19" s="170"/>
    </row>
    <row r="20" spans="6:9" x14ac:dyDescent="0.25">
      <c r="F20" s="172">
        <f>F18-F16</f>
        <v>0</v>
      </c>
      <c r="G20" s="170"/>
    </row>
    <row r="21" spans="6:9" x14ac:dyDescent="0.25">
      <c r="F21" s="172"/>
      <c r="G21" s="170"/>
    </row>
    <row r="22" spans="6:9" x14ac:dyDescent="0.25">
      <c r="F22" s="170"/>
      <c r="G22" s="173">
        <v>2665513.0434782612</v>
      </c>
    </row>
    <row r="23" spans="6:9" x14ac:dyDescent="0.25">
      <c r="F23" s="170"/>
      <c r="G23" s="174">
        <f>G22/9</f>
        <v>296168.11594202905</v>
      </c>
    </row>
    <row r="24" spans="6:9" x14ac:dyDescent="0.25">
      <c r="F24" s="170"/>
      <c r="G24" s="170"/>
    </row>
  </sheetData>
  <pageMargins left="0.7" right="0.7" top="0.75" bottom="0.75" header="0.3" footer="0.3"/>
  <pageSetup paperSize="9"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showGridLines="0" zoomScale="71" zoomScaleNormal="71" workbookViewId="0">
      <selection activeCell="J12" sqref="J12"/>
    </sheetView>
  </sheetViews>
  <sheetFormatPr defaultRowHeight="15" x14ac:dyDescent="0.25"/>
  <cols>
    <col min="3" max="3" width="82.5703125" customWidth="1"/>
    <col min="4" max="4" width="16.5703125" hidden="1" customWidth="1"/>
    <col min="5" max="5" width="13" customWidth="1"/>
    <col min="6" max="6" width="16.42578125" bestFit="1" customWidth="1"/>
    <col min="7" max="7" width="16.42578125" style="251" customWidth="1"/>
    <col min="8" max="8" width="19" customWidth="1"/>
    <col min="9" max="9" width="17.140625" customWidth="1"/>
    <col min="10" max="10" width="15.5703125" bestFit="1" customWidth="1"/>
    <col min="11" max="11" width="16.42578125" hidden="1" customWidth="1"/>
    <col min="12" max="12" width="11.5703125" hidden="1" customWidth="1"/>
    <col min="13" max="13" width="14.5703125" hidden="1" customWidth="1"/>
  </cols>
  <sheetData>
    <row r="1" spans="2:14" ht="42" customHeight="1" x14ac:dyDescent="0.25">
      <c r="B1" s="353" t="s">
        <v>271</v>
      </c>
      <c r="C1" s="353"/>
      <c r="D1" s="353"/>
      <c r="E1" s="353"/>
      <c r="F1" s="353"/>
      <c r="G1" s="353"/>
      <c r="H1" s="353"/>
      <c r="I1" s="353"/>
      <c r="J1" s="353"/>
    </row>
    <row r="2" spans="2:14" ht="15.75" thickBot="1" x14ac:dyDescent="0.3">
      <c r="C2" s="20"/>
      <c r="F2" s="16"/>
      <c r="G2" s="247"/>
    </row>
    <row r="3" spans="2:14" ht="72.75" thickBot="1" x14ac:dyDescent="0.3">
      <c r="B3" s="176" t="s">
        <v>1</v>
      </c>
      <c r="C3" s="176" t="s">
        <v>0</v>
      </c>
      <c r="D3" s="176" t="s">
        <v>3</v>
      </c>
      <c r="E3" s="176" t="s">
        <v>4</v>
      </c>
      <c r="F3" s="176" t="s">
        <v>2</v>
      </c>
      <c r="G3" s="176" t="s">
        <v>321</v>
      </c>
      <c r="H3" s="176" t="s">
        <v>89</v>
      </c>
      <c r="I3" s="176" t="s">
        <v>268</v>
      </c>
      <c r="J3" s="176" t="s">
        <v>267</v>
      </c>
    </row>
    <row r="4" spans="2:14" ht="45.75" customHeight="1" x14ac:dyDescent="0.3">
      <c r="B4" s="177">
        <v>1</v>
      </c>
      <c r="C4" s="178" t="s">
        <v>100</v>
      </c>
      <c r="D4" s="179">
        <f>+'[1]Details per Province'!C149</f>
        <v>14857.215573179525</v>
      </c>
      <c r="E4" s="179">
        <v>5548</v>
      </c>
      <c r="F4" s="179">
        <v>82427832</v>
      </c>
      <c r="G4" s="243">
        <f>82427832-8000000</f>
        <v>74427832</v>
      </c>
      <c r="H4" s="180">
        <v>61232728.049999997</v>
      </c>
      <c r="I4" s="180" t="e">
        <f>#REF!+#REF!+#REF!+#REF!+#REF!+#REF!+#REF!+#REF!+#REF!</f>
        <v>#REF!</v>
      </c>
      <c r="J4" s="214" t="e">
        <f>I4/G4</f>
        <v>#REF!</v>
      </c>
      <c r="K4" s="80">
        <f>'Details per Province'!D149</f>
        <v>5892</v>
      </c>
      <c r="L4" s="81">
        <f>'Details per Province'!F149</f>
        <v>87538714.157173753</v>
      </c>
      <c r="M4" s="44"/>
      <c r="N4" s="45"/>
    </row>
    <row r="5" spans="2:14" ht="28.5" customHeight="1" x14ac:dyDescent="0.3">
      <c r="B5" s="177">
        <v>2</v>
      </c>
      <c r="C5" s="178" t="s">
        <v>281</v>
      </c>
      <c r="D5" s="179"/>
      <c r="E5" s="179">
        <v>3334</v>
      </c>
      <c r="F5" s="179">
        <v>17510168</v>
      </c>
      <c r="G5" s="243">
        <v>17510168</v>
      </c>
      <c r="H5" s="180">
        <v>17510168</v>
      </c>
      <c r="I5" s="180"/>
      <c r="J5" s="214">
        <f t="shared" ref="J5:J15" si="0">I5/G5</f>
        <v>0</v>
      </c>
      <c r="K5" s="80">
        <f>'Details per Province'!D150</f>
        <v>2990</v>
      </c>
      <c r="L5" s="81">
        <f>'Details per Province'!F150</f>
        <v>15703480</v>
      </c>
      <c r="M5" s="44"/>
    </row>
    <row r="6" spans="2:14" ht="22.5" customHeight="1" x14ac:dyDescent="0.3">
      <c r="B6" s="177">
        <v>3</v>
      </c>
      <c r="C6" s="178" t="s">
        <v>102</v>
      </c>
      <c r="D6" s="179">
        <f>+'[1]Details per Province'!C151</f>
        <v>6000</v>
      </c>
      <c r="E6" s="179">
        <v>3334</v>
      </c>
      <c r="F6" s="179">
        <v>20004000</v>
      </c>
      <c r="G6" s="243">
        <v>13000000</v>
      </c>
      <c r="H6" s="180">
        <v>20000000</v>
      </c>
      <c r="I6" s="180" t="e">
        <f>#REF!+#REF!+#REF!+#REF!+#REF!+#REF!+#REF!</f>
        <v>#REF!</v>
      </c>
      <c r="J6" s="214" t="e">
        <f t="shared" si="0"/>
        <v>#REF!</v>
      </c>
      <c r="K6" s="80">
        <f>'Details per Province'!D151</f>
        <v>2990</v>
      </c>
      <c r="L6" s="81">
        <f>'Details per Province'!F151</f>
        <v>17940000</v>
      </c>
    </row>
    <row r="7" spans="2:14" ht="37.5" customHeight="1" x14ac:dyDescent="0.3">
      <c r="B7" s="177">
        <v>4</v>
      </c>
      <c r="C7" s="178" t="s">
        <v>93</v>
      </c>
      <c r="D7" s="179">
        <f>+'[1]Details per Province'!C152</f>
        <v>0</v>
      </c>
      <c r="E7" s="179">
        <v>347</v>
      </c>
      <c r="F7" s="179">
        <v>66535345.349999994</v>
      </c>
      <c r="G7" s="243">
        <f>66535345.35+13287967+7004000+8000000</f>
        <v>94827312.349999994</v>
      </c>
      <c r="H7" s="180">
        <v>54503920.600000001</v>
      </c>
      <c r="I7" s="180" t="e">
        <f>#REF!+#REF!+#REF!+#REF!+#REF!+#REF!+#REF!+#REF!+#REF!</f>
        <v>#REF!</v>
      </c>
      <c r="J7" s="214" t="e">
        <f>I7/G7</f>
        <v>#REF!</v>
      </c>
      <c r="K7" s="80">
        <f>'Details per Province'!D152</f>
        <v>347</v>
      </c>
      <c r="L7" s="46">
        <f>'Details per Province'!F152</f>
        <v>66535345.350000001</v>
      </c>
      <c r="M7" s="44"/>
    </row>
    <row r="8" spans="2:14" ht="37.5" customHeight="1" x14ac:dyDescent="0.3">
      <c r="B8" s="177">
        <v>5</v>
      </c>
      <c r="C8" s="178" t="s">
        <v>7</v>
      </c>
      <c r="D8" s="179">
        <f>+'[1]Details per Province'!C153</f>
        <v>120</v>
      </c>
      <c r="E8" s="179">
        <v>213002.79166666666</v>
      </c>
      <c r="F8" s="179">
        <v>25560335</v>
      </c>
      <c r="G8" s="243">
        <v>25560335</v>
      </c>
      <c r="H8" s="180">
        <v>25560335</v>
      </c>
      <c r="I8" s="180" t="e">
        <f>#REF!+#REF!+#REF!+#REF!+#REF!+#REF!+#REF!+#REF!+#REF!</f>
        <v>#REF!</v>
      </c>
      <c r="J8" s="214" t="e">
        <f>I8/SUM(G8:G10)</f>
        <v>#REF!</v>
      </c>
      <c r="K8" s="80">
        <f>'Details per Province'!D153</f>
        <v>213003</v>
      </c>
      <c r="L8" s="46">
        <f>'Details per Province'!F153</f>
        <v>25560360</v>
      </c>
    </row>
    <row r="9" spans="2:14" ht="27" customHeight="1" x14ac:dyDescent="0.3">
      <c r="B9" s="177">
        <v>6</v>
      </c>
      <c r="C9" s="178" t="s">
        <v>109</v>
      </c>
      <c r="D9" s="179">
        <f>+'[1]Details per Province'!C154</f>
        <v>20</v>
      </c>
      <c r="E9" s="179">
        <v>135000</v>
      </c>
      <c r="F9" s="179">
        <v>2700000</v>
      </c>
      <c r="G9" s="254">
        <v>2700000</v>
      </c>
      <c r="H9" s="181">
        <v>2700000</v>
      </c>
      <c r="I9" s="180" t="e">
        <f>#REF!+#REF!+#REF!+#REF!+#REF!+#REF!+#REF!+#REF!+#REF!</f>
        <v>#REF!</v>
      </c>
      <c r="J9" s="214" t="e">
        <f t="shared" si="0"/>
        <v>#REF!</v>
      </c>
      <c r="K9" s="80">
        <f>'Details per Province'!D154</f>
        <v>135000</v>
      </c>
      <c r="L9" s="46">
        <f>'Details per Province'!F154</f>
        <v>2700000</v>
      </c>
    </row>
    <row r="10" spans="2:14" ht="27" customHeight="1" x14ac:dyDescent="0.3">
      <c r="B10" s="177">
        <v>7</v>
      </c>
      <c r="C10" s="178" t="s">
        <v>104</v>
      </c>
      <c r="D10" s="179">
        <f>+'[1]Details per Province'!C155</f>
        <v>750</v>
      </c>
      <c r="E10" s="179">
        <v>13500</v>
      </c>
      <c r="F10" s="179">
        <v>10125000</v>
      </c>
      <c r="G10" s="254">
        <v>10125000</v>
      </c>
      <c r="H10" s="181">
        <v>10125000</v>
      </c>
      <c r="I10" s="180" t="e">
        <f>#REF!+#REF!+#REF!+#REF!+#REF!+#REF!+#REF!+#REF!+#REF!</f>
        <v>#REF!</v>
      </c>
      <c r="J10" s="214" t="e">
        <f t="shared" si="0"/>
        <v>#REF!</v>
      </c>
      <c r="K10" s="80">
        <f>'Details per Province'!D155</f>
        <v>13500</v>
      </c>
      <c r="L10" s="46">
        <f>'Details per Province'!F155</f>
        <v>10125000</v>
      </c>
    </row>
    <row r="11" spans="2:14" s="246" customFormat="1" ht="26.25" customHeight="1" x14ac:dyDescent="0.3">
      <c r="B11" s="242">
        <v>8</v>
      </c>
      <c r="C11" s="255" t="s">
        <v>107</v>
      </c>
      <c r="D11" s="256"/>
      <c r="E11" s="257">
        <f>+'[1]Details per Province'!D156</f>
        <v>0.01</v>
      </c>
      <c r="F11" s="256">
        <f>0.01*$F18/1.15</f>
        <v>2665513.0434782612</v>
      </c>
      <c r="G11" s="258">
        <v>2665513.0434782612</v>
      </c>
      <c r="H11" s="258">
        <f>0.01*$F18/1.15</f>
        <v>2665513.0434782612</v>
      </c>
      <c r="I11" s="258" t="e">
        <f>#REF!+#REF!+#REF!+#REF!+#REF!+#REF!+#REF!+#REF!+#REF!</f>
        <v>#REF!</v>
      </c>
      <c r="J11" s="259" t="e">
        <f>I11/G11</f>
        <v>#REF!</v>
      </c>
      <c r="K11" s="244">
        <f>'Details per Province'!D156</f>
        <v>0.01</v>
      </c>
      <c r="L11" s="245">
        <f>'Details per Province'!F156</f>
        <v>2665512.9999999972</v>
      </c>
    </row>
    <row r="12" spans="2:14" ht="27" customHeight="1" x14ac:dyDescent="0.3">
      <c r="B12" s="177">
        <v>9</v>
      </c>
      <c r="C12" s="183" t="s">
        <v>315</v>
      </c>
      <c r="D12" s="179"/>
      <c r="E12" s="184"/>
      <c r="F12" s="184">
        <f>SUM(F4:F11)</f>
        <v>227528193.39347824</v>
      </c>
      <c r="G12" s="261">
        <f>SUM(G4:G11)</f>
        <v>240816160.39347824</v>
      </c>
      <c r="H12" s="262">
        <f>SUM(H4:H11)</f>
        <v>194297664.69347826</v>
      </c>
      <c r="I12" s="185" t="e">
        <f>SUM(I4:I11)</f>
        <v>#REF!</v>
      </c>
      <c r="J12" s="252" t="e">
        <f>I12/G12</f>
        <v>#REF!</v>
      </c>
      <c r="K12" s="22">
        <f>'Details per Province'!D157</f>
        <v>0</v>
      </c>
      <c r="L12" s="44">
        <f>'Details per Province'!F157</f>
        <v>228768412.50717375</v>
      </c>
      <c r="M12" s="45">
        <f>L12-F12</f>
        <v>1240219.1136955023</v>
      </c>
    </row>
    <row r="13" spans="2:14" ht="26.25" customHeight="1" x14ac:dyDescent="0.3">
      <c r="B13" s="177">
        <v>10</v>
      </c>
      <c r="C13" s="178" t="s">
        <v>106</v>
      </c>
      <c r="D13" s="179"/>
      <c r="E13" s="182">
        <v>5.2456136976159334E-2</v>
      </c>
      <c r="F13" s="179">
        <f>$E13*$F18/1.15</f>
        <v>13982251.732043501</v>
      </c>
      <c r="G13" s="243">
        <v>13982251.732043501</v>
      </c>
      <c r="H13" s="180">
        <f>$E13*$F18/1.15</f>
        <v>13982251.732043501</v>
      </c>
      <c r="I13" s="180" t="e">
        <f>#REF!+#REF!+#REF!+#REF!+#REF!+#REF!+#REF!+#REF!+#REF!</f>
        <v>#REF!</v>
      </c>
      <c r="J13" s="214" t="e">
        <f>I13/G13</f>
        <v>#REF!</v>
      </c>
      <c r="K13" s="80">
        <f>'Details per Province'!D158</f>
        <v>0.05</v>
      </c>
      <c r="L13" s="44">
        <f>'Details per Province'!F158</f>
        <v>12608062.299271485</v>
      </c>
      <c r="M13" s="45">
        <f>L13-F13</f>
        <v>-1374189.4327720162</v>
      </c>
    </row>
    <row r="14" spans="2:14" ht="26.25" customHeight="1" x14ac:dyDescent="0.3">
      <c r="B14" s="177">
        <v>11</v>
      </c>
      <c r="C14" s="178" t="s">
        <v>95</v>
      </c>
      <c r="D14" s="179"/>
      <c r="E14" s="182">
        <v>0.103684373606656</v>
      </c>
      <c r="F14" s="179">
        <f>SUM(F12:F13)*E14</f>
        <v>25040859.222304389</v>
      </c>
      <c r="G14" s="243">
        <v>11752892</v>
      </c>
      <c r="H14" s="180">
        <v>11752891.85</v>
      </c>
      <c r="I14" s="180" t="e">
        <f>#REF!+#REF!+#REF!+#REF!+#REF!+#REF!+#REF!+#REF!+#REF!</f>
        <v>#REF!</v>
      </c>
      <c r="J14" s="214" t="e">
        <f>I14/G14</f>
        <v>#REF!</v>
      </c>
      <c r="K14" s="80">
        <f>'Details per Province'!D159</f>
        <v>0.1</v>
      </c>
      <c r="L14" s="44">
        <f>'Details per Province'!F159</f>
        <v>25026968.593689054</v>
      </c>
      <c r="M14" s="45">
        <f>L14-F14</f>
        <v>-13890.62861533463</v>
      </c>
    </row>
    <row r="15" spans="2:14" ht="25.5" customHeight="1" x14ac:dyDescent="0.3">
      <c r="B15" s="177">
        <v>12</v>
      </c>
      <c r="C15" s="178" t="s">
        <v>25</v>
      </c>
      <c r="D15" s="179"/>
      <c r="E15" s="186">
        <f>+'[1]Details per Province'!D160</f>
        <v>0.15</v>
      </c>
      <c r="F15" s="179">
        <f>SUM(F12:F14)*0.15</f>
        <v>39982695.652173914</v>
      </c>
      <c r="G15" s="243">
        <v>39982695.652173914</v>
      </c>
      <c r="H15" s="180">
        <f>SUM(H12:H14)*0.15</f>
        <v>33004921.241328262</v>
      </c>
      <c r="I15" s="180" t="e">
        <f>SUM(I12:I14)*E15</f>
        <v>#REF!</v>
      </c>
      <c r="J15" s="214" t="e">
        <f t="shared" si="0"/>
        <v>#REF!</v>
      </c>
      <c r="K15" s="80">
        <f>'Details per Province'!D160</f>
        <v>0.15</v>
      </c>
      <c r="L15" s="44">
        <f>'Details per Province'!F160</f>
        <v>39960516.510020144</v>
      </c>
      <c r="M15" s="45">
        <f>L15-F15</f>
        <v>-22179.142153769732</v>
      </c>
    </row>
    <row r="16" spans="2:14" ht="22.5" customHeight="1" thickBot="1" x14ac:dyDescent="0.3">
      <c r="B16" s="187"/>
      <c r="C16" s="188" t="s">
        <v>96</v>
      </c>
      <c r="D16" s="189"/>
      <c r="E16" s="189"/>
      <c r="F16" s="190">
        <f>SUM(F4:F11,F13:F15)</f>
        <v>306534000.00000006</v>
      </c>
      <c r="G16" s="263">
        <f>SUM(G4:G11,G13:G15)</f>
        <v>306533999.77769566</v>
      </c>
      <c r="H16" s="264">
        <f>SUM(H4:H11,H13:H15)</f>
        <v>253037729.51685002</v>
      </c>
      <c r="I16" s="191" t="e">
        <f>SUM(I4:I11,I13:I15)</f>
        <v>#REF!</v>
      </c>
      <c r="J16" s="253" t="e">
        <f>I16/G16</f>
        <v>#REF!</v>
      </c>
      <c r="K16" s="80">
        <f>'Details per Province'!D161</f>
        <v>0</v>
      </c>
      <c r="L16" s="44">
        <f>'Details per Province'!F161</f>
        <v>306363959.91015446</v>
      </c>
      <c r="M16" s="45">
        <f>L16-F16</f>
        <v>-170040.08984559774</v>
      </c>
    </row>
    <row r="17" spans="6:11" x14ac:dyDescent="0.25">
      <c r="F17" s="45"/>
      <c r="G17" s="248"/>
      <c r="K17" s="22"/>
    </row>
    <row r="18" spans="6:11" x14ac:dyDescent="0.25">
      <c r="F18" s="169">
        <v>306534000</v>
      </c>
      <c r="G18" s="249"/>
      <c r="H18" s="170"/>
      <c r="I18" s="170"/>
    </row>
    <row r="19" spans="6:11" x14ac:dyDescent="0.25">
      <c r="F19" s="171"/>
      <c r="G19" s="250"/>
      <c r="H19" s="170"/>
      <c r="I19" s="170"/>
    </row>
    <row r="20" spans="6:11" x14ac:dyDescent="0.25">
      <c r="F20" s="172">
        <f>F18-F16</f>
        <v>0</v>
      </c>
      <c r="G20" s="247"/>
      <c r="H20" s="170"/>
      <c r="I20" s="170"/>
    </row>
    <row r="21" spans="6:11" x14ac:dyDescent="0.25">
      <c r="F21" s="172"/>
      <c r="G21" s="247"/>
      <c r="H21" s="170"/>
      <c r="I21" s="170"/>
    </row>
    <row r="22" spans="6:11" x14ac:dyDescent="0.25">
      <c r="F22" s="170"/>
      <c r="H22" s="170"/>
      <c r="I22" s="213"/>
    </row>
    <row r="23" spans="6:11" x14ac:dyDescent="0.25">
      <c r="F23" s="170"/>
      <c r="H23" s="174">
        <f>H22/9</f>
        <v>0</v>
      </c>
      <c r="I23" s="174"/>
    </row>
    <row r="24" spans="6:11" x14ac:dyDescent="0.25">
      <c r="F24" s="170"/>
      <c r="H24" s="170"/>
      <c r="I24" s="170"/>
    </row>
  </sheetData>
  <mergeCells count="1">
    <mergeCell ref="B1:J1"/>
  </mergeCells>
  <pageMargins left="0.7" right="0.7" top="0.75" bottom="0.75" header="0.3" footer="0.3"/>
  <pageSetup paperSize="9" scale="70" fitToHeight="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194"/>
  <sheetViews>
    <sheetView showGridLines="0" topLeftCell="A124" zoomScale="85" zoomScaleNormal="85" workbookViewId="0">
      <selection activeCell="J59" sqref="J59"/>
    </sheetView>
  </sheetViews>
  <sheetFormatPr defaultColWidth="8.5703125" defaultRowHeight="14.25" x14ac:dyDescent="0.2"/>
  <cols>
    <col min="1" max="1" width="5.140625" style="192" customWidth="1"/>
    <col min="2" max="2" width="10" style="192" bestFit="1" customWidth="1"/>
    <col min="3" max="3" width="11.5703125" style="196" customWidth="1"/>
    <col min="4" max="4" width="13.42578125" style="196" customWidth="1"/>
    <col min="5" max="5" width="26.85546875" style="192" customWidth="1"/>
    <col min="6" max="6" width="18.42578125" style="192" customWidth="1"/>
    <col min="7" max="7" width="19.85546875" style="221" customWidth="1"/>
    <col min="8" max="8" width="16.140625" style="201" bestFit="1" customWidth="1"/>
    <col min="9" max="9" width="4.5703125" style="192" customWidth="1"/>
    <col min="10" max="10" width="16.85546875" style="192" bestFit="1" customWidth="1"/>
    <col min="11" max="11" width="12.42578125" style="192" bestFit="1" customWidth="1"/>
    <col min="12" max="16384" width="8.5703125" style="192"/>
  </cols>
  <sheetData>
    <row r="1" spans="2:12" ht="15" x14ac:dyDescent="0.25">
      <c r="B1" s="195" t="s">
        <v>72</v>
      </c>
    </row>
    <row r="2" spans="2:12" ht="15" x14ac:dyDescent="0.25">
      <c r="B2" s="195"/>
    </row>
    <row r="3" spans="2:12" ht="15" x14ac:dyDescent="0.25">
      <c r="C3" s="354" t="s">
        <v>264</v>
      </c>
      <c r="D3" s="354"/>
      <c r="E3" s="354"/>
      <c r="F3" s="354"/>
      <c r="G3" s="354"/>
      <c r="H3" s="354"/>
    </row>
    <row r="5" spans="2:12" ht="15" x14ac:dyDescent="0.25">
      <c r="C5" s="198" t="s">
        <v>30</v>
      </c>
      <c r="D5" s="199" t="s">
        <v>87</v>
      </c>
      <c r="E5" s="200" t="s">
        <v>31</v>
      </c>
      <c r="F5" s="200"/>
      <c r="G5" s="222" t="s">
        <v>269</v>
      </c>
      <c r="H5" s="209" t="s">
        <v>32</v>
      </c>
    </row>
    <row r="6" spans="2:12" ht="15" customHeight="1" x14ac:dyDescent="0.2">
      <c r="D6" s="192"/>
    </row>
    <row r="7" spans="2:12" ht="15" customHeight="1" x14ac:dyDescent="0.25">
      <c r="C7" s="196">
        <v>43921</v>
      </c>
      <c r="D7" s="201" t="s">
        <v>29</v>
      </c>
      <c r="E7" s="192" t="s">
        <v>88</v>
      </c>
      <c r="G7" s="223">
        <f>G190*0.05</f>
        <v>7792996.3848478291</v>
      </c>
      <c r="L7" s="202"/>
    </row>
    <row r="8" spans="2:12" ht="15" customHeight="1" x14ac:dyDescent="0.2">
      <c r="D8" s="192"/>
    </row>
    <row r="9" spans="2:12" ht="15" customHeight="1" x14ac:dyDescent="0.2">
      <c r="C9" s="196">
        <v>43929</v>
      </c>
      <c r="D9" s="192">
        <v>4500211001</v>
      </c>
      <c r="E9" s="192" t="s">
        <v>80</v>
      </c>
      <c r="F9" s="192" t="s">
        <v>257</v>
      </c>
      <c r="G9" s="221">
        <f>997376.6/1.15</f>
        <v>867284</v>
      </c>
      <c r="H9" s="201" t="s">
        <v>81</v>
      </c>
      <c r="J9" s="203"/>
      <c r="K9" s="197"/>
    </row>
    <row r="10" spans="2:12" ht="15" customHeight="1" x14ac:dyDescent="0.2">
      <c r="C10" s="196">
        <v>43935</v>
      </c>
      <c r="D10" s="192">
        <v>4500211016</v>
      </c>
      <c r="E10" s="192" t="s">
        <v>82</v>
      </c>
      <c r="F10" s="192" t="s">
        <v>257</v>
      </c>
      <c r="G10" s="221">
        <f>271974.54/1.15</f>
        <v>236499.6</v>
      </c>
      <c r="H10" s="201" t="s">
        <v>81</v>
      </c>
      <c r="J10" s="203"/>
      <c r="K10" s="197"/>
    </row>
    <row r="11" spans="2:12" ht="15" customHeight="1" x14ac:dyDescent="0.2">
      <c r="C11" s="196">
        <v>43944</v>
      </c>
      <c r="D11" s="192">
        <v>4500211026</v>
      </c>
      <c r="E11" s="192" t="s">
        <v>274</v>
      </c>
      <c r="F11" s="192" t="s">
        <v>257</v>
      </c>
      <c r="G11" s="221">
        <v>392816.6</v>
      </c>
      <c r="H11" s="201" t="s">
        <v>81</v>
      </c>
      <c r="J11" s="203"/>
      <c r="K11" s="197"/>
    </row>
    <row r="12" spans="2:12" ht="15" customHeight="1" x14ac:dyDescent="0.2">
      <c r="C12" s="196">
        <v>43949</v>
      </c>
      <c r="D12" s="192">
        <v>4500211010</v>
      </c>
      <c r="E12" s="196" t="s">
        <v>276</v>
      </c>
      <c r="F12" s="192" t="s">
        <v>257</v>
      </c>
      <c r="G12" s="221">
        <f>277666/1.15</f>
        <v>241448.69565217392</v>
      </c>
      <c r="H12" s="201" t="s">
        <v>81</v>
      </c>
      <c r="J12" s="203"/>
      <c r="K12" s="197"/>
    </row>
    <row r="13" spans="2:12" ht="15" customHeight="1" x14ac:dyDescent="0.2">
      <c r="C13" s="196">
        <v>43951</v>
      </c>
      <c r="D13" s="192">
        <v>4500210999</v>
      </c>
      <c r="E13" s="192" t="s">
        <v>273</v>
      </c>
      <c r="F13" s="192" t="s">
        <v>257</v>
      </c>
      <c r="G13" s="221">
        <v>7831798.4400000004</v>
      </c>
      <c r="H13" s="201" t="str">
        <f>H10</f>
        <v xml:space="preserve">Gauteng </v>
      </c>
      <c r="J13" s="203"/>
      <c r="K13" s="197"/>
    </row>
    <row r="14" spans="2:12" ht="15" customHeight="1" x14ac:dyDescent="0.2">
      <c r="C14" s="196">
        <v>43956</v>
      </c>
      <c r="D14" s="192">
        <f>D9</f>
        <v>4500211001</v>
      </c>
      <c r="E14" s="192" t="str">
        <f>E9</f>
        <v xml:space="preserve">Jojo Tanks </v>
      </c>
      <c r="F14" s="192" t="str">
        <f>F13</f>
        <v>Tanks</v>
      </c>
      <c r="G14" s="221">
        <v>524484</v>
      </c>
      <c r="H14" s="201" t="str">
        <f>H13</f>
        <v xml:space="preserve">Gauteng </v>
      </c>
      <c r="J14" s="203"/>
      <c r="K14" s="197"/>
    </row>
    <row r="15" spans="2:12" ht="15" customHeight="1" x14ac:dyDescent="0.2">
      <c r="C15" s="196">
        <v>43959</v>
      </c>
      <c r="D15" s="192">
        <v>4500211088</v>
      </c>
      <c r="E15" s="192" t="s">
        <v>282</v>
      </c>
      <c r="F15" s="192" t="s">
        <v>257</v>
      </c>
      <c r="G15" s="221">
        <f>1329515/1.15</f>
        <v>1156100</v>
      </c>
      <c r="H15" s="201" t="s">
        <v>81</v>
      </c>
      <c r="J15" s="203"/>
      <c r="K15" s="197"/>
    </row>
    <row r="16" spans="2:12" ht="15" customHeight="1" x14ac:dyDescent="0.2">
      <c r="C16" s="196">
        <v>43965</v>
      </c>
      <c r="D16" s="192">
        <v>4500211025</v>
      </c>
      <c r="E16" s="192" t="s">
        <v>290</v>
      </c>
      <c r="F16" s="192" t="s">
        <v>127</v>
      </c>
      <c r="G16" s="221">
        <v>219300</v>
      </c>
      <c r="H16" s="201" t="s">
        <v>81</v>
      </c>
      <c r="J16" s="203"/>
      <c r="K16" s="197"/>
    </row>
    <row r="17" spans="3:11" ht="15" customHeight="1" x14ac:dyDescent="0.2">
      <c r="C17" s="196">
        <v>43965</v>
      </c>
      <c r="D17" s="192">
        <v>4500211078</v>
      </c>
      <c r="E17" s="192" t="s">
        <v>296</v>
      </c>
      <c r="F17" s="192" t="s">
        <v>257</v>
      </c>
      <c r="G17" s="221">
        <v>1248588</v>
      </c>
      <c r="H17" s="201" t="s">
        <v>81</v>
      </c>
      <c r="J17" s="203"/>
      <c r="K17" s="197"/>
    </row>
    <row r="18" spans="3:11" ht="15" customHeight="1" x14ac:dyDescent="0.2">
      <c r="C18" s="196">
        <v>43980</v>
      </c>
      <c r="D18" s="192">
        <v>4500210987</v>
      </c>
      <c r="E18" s="192" t="s">
        <v>170</v>
      </c>
      <c r="F18" s="192" t="s">
        <v>127</v>
      </c>
      <c r="G18" s="221">
        <v>3767300.0000000005</v>
      </c>
      <c r="H18" s="201" t="s">
        <v>81</v>
      </c>
      <c r="J18" s="203"/>
      <c r="K18" s="197"/>
    </row>
    <row r="19" spans="3:11" ht="15" customHeight="1" x14ac:dyDescent="0.2">
      <c r="C19" s="196">
        <v>43994</v>
      </c>
      <c r="D19" s="192">
        <v>4500211021</v>
      </c>
      <c r="E19" s="192" t="s">
        <v>295</v>
      </c>
      <c r="F19" s="192" t="s">
        <v>127</v>
      </c>
      <c r="G19" s="221">
        <v>173000</v>
      </c>
      <c r="H19" s="201" t="s">
        <v>81</v>
      </c>
      <c r="J19" s="203"/>
      <c r="K19" s="197"/>
    </row>
    <row r="20" spans="3:11" ht="15" customHeight="1" x14ac:dyDescent="0.2">
      <c r="C20" s="196">
        <v>44005</v>
      </c>
      <c r="D20" s="192">
        <v>4500211022</v>
      </c>
      <c r="E20" s="192" t="s">
        <v>295</v>
      </c>
      <c r="F20" s="192" t="s">
        <v>127</v>
      </c>
      <c r="G20" s="221">
        <v>224000</v>
      </c>
      <c r="H20" s="201" t="s">
        <v>81</v>
      </c>
      <c r="J20" s="203"/>
      <c r="K20" s="197"/>
    </row>
    <row r="21" spans="3:11" ht="15" customHeight="1" x14ac:dyDescent="0.2">
      <c r="C21" s="196">
        <v>44005</v>
      </c>
      <c r="D21" s="192">
        <v>4500211078</v>
      </c>
      <c r="E21" s="192" t="s">
        <v>296</v>
      </c>
      <c r="F21" s="192" t="s">
        <v>257</v>
      </c>
      <c r="G21" s="221">
        <v>138732</v>
      </c>
      <c r="H21" s="201" t="s">
        <v>81</v>
      </c>
      <c r="J21" s="203"/>
      <c r="K21" s="197"/>
    </row>
    <row r="22" spans="3:11" ht="15" customHeight="1" x14ac:dyDescent="0.2">
      <c r="C22" s="196">
        <v>44005</v>
      </c>
      <c r="D22" s="192">
        <v>4500211080</v>
      </c>
      <c r="E22" s="192" t="s">
        <v>203</v>
      </c>
      <c r="F22" s="192" t="s">
        <v>257</v>
      </c>
      <c r="G22" s="221">
        <v>1133000</v>
      </c>
      <c r="H22" s="201" t="s">
        <v>81</v>
      </c>
      <c r="J22" s="203"/>
      <c r="K22" s="197"/>
    </row>
    <row r="23" spans="3:11" ht="15" customHeight="1" x14ac:dyDescent="0.2">
      <c r="C23" s="196">
        <v>44008</v>
      </c>
      <c r="D23" s="192">
        <v>4500211112</v>
      </c>
      <c r="E23" s="192" t="s">
        <v>196</v>
      </c>
      <c r="F23" s="192" t="s">
        <v>257</v>
      </c>
      <c r="G23" s="221">
        <v>3240000.0000000005</v>
      </c>
      <c r="H23" s="201" t="s">
        <v>81</v>
      </c>
      <c r="J23" s="203"/>
      <c r="K23" s="197"/>
    </row>
    <row r="24" spans="3:11" ht="15" customHeight="1" thickBot="1" x14ac:dyDescent="0.25">
      <c r="D24" s="192"/>
      <c r="G24" s="224">
        <f>SUM(G9:G23)</f>
        <v>21394351.335652173</v>
      </c>
      <c r="J24" s="203"/>
      <c r="K24" s="197"/>
    </row>
    <row r="25" spans="3:11" ht="15" customHeight="1" x14ac:dyDescent="0.2">
      <c r="D25" s="192"/>
      <c r="G25" s="232"/>
      <c r="J25" s="203"/>
      <c r="K25" s="197"/>
    </row>
    <row r="26" spans="3:11" ht="15" customHeight="1" x14ac:dyDescent="0.2">
      <c r="C26" s="196">
        <v>43938</v>
      </c>
      <c r="D26" s="192">
        <v>4500211001</v>
      </c>
      <c r="E26" s="192" t="s">
        <v>246</v>
      </c>
      <c r="F26" s="192" t="s">
        <v>257</v>
      </c>
      <c r="G26" s="221">
        <v>338697</v>
      </c>
      <c r="H26" s="201" t="s">
        <v>247</v>
      </c>
      <c r="J26" s="203"/>
      <c r="K26" s="197"/>
    </row>
    <row r="27" spans="3:11" ht="15" customHeight="1" x14ac:dyDescent="0.2">
      <c r="C27" s="196">
        <v>43941</v>
      </c>
      <c r="D27" s="192">
        <v>4500211001</v>
      </c>
      <c r="E27" s="192" t="s">
        <v>246</v>
      </c>
      <c r="F27" s="192" t="str">
        <f>F26</f>
        <v>Tanks</v>
      </c>
      <c r="G27" s="221">
        <v>530</v>
      </c>
      <c r="H27" s="201" t="s">
        <v>247</v>
      </c>
      <c r="J27" s="203"/>
      <c r="K27" s="197"/>
    </row>
    <row r="28" spans="3:11" ht="15" customHeight="1" x14ac:dyDescent="0.2">
      <c r="C28" s="196">
        <v>43949</v>
      </c>
      <c r="D28" s="192">
        <v>4500211001</v>
      </c>
      <c r="E28" s="192" t="s">
        <v>246</v>
      </c>
      <c r="F28" s="192" t="str">
        <f>F27</f>
        <v>Tanks</v>
      </c>
      <c r="G28" s="221">
        <v>81000</v>
      </c>
      <c r="H28" s="201" t="s">
        <v>247</v>
      </c>
      <c r="J28" s="203"/>
      <c r="K28" s="197"/>
    </row>
    <row r="29" spans="3:11" ht="15" customHeight="1" x14ac:dyDescent="0.2">
      <c r="C29" s="196">
        <v>43955</v>
      </c>
      <c r="D29" s="192">
        <v>4500211088</v>
      </c>
      <c r="E29" s="192" t="s">
        <v>275</v>
      </c>
      <c r="F29" s="192" t="s">
        <v>257</v>
      </c>
      <c r="G29" s="221">
        <f>558227.25/1.15</f>
        <v>485415.00000000006</v>
      </c>
      <c r="H29" s="201" t="s">
        <v>247</v>
      </c>
      <c r="J29" s="203"/>
      <c r="K29" s="197"/>
    </row>
    <row r="30" spans="3:11" ht="15" customHeight="1" x14ac:dyDescent="0.2">
      <c r="C30" s="196">
        <v>43957</v>
      </c>
      <c r="D30" s="192">
        <f>D28</f>
        <v>4500211001</v>
      </c>
      <c r="E30" s="192" t="str">
        <f>E28</f>
        <v>Jojo Tanks</v>
      </c>
      <c r="F30" s="192" t="str">
        <f>F29</f>
        <v>Tanks</v>
      </c>
      <c r="G30" s="221">
        <v>583</v>
      </c>
      <c r="H30" s="201" t="str">
        <f>H29</f>
        <v>FS</v>
      </c>
      <c r="J30" s="203"/>
      <c r="K30" s="197"/>
    </row>
    <row r="31" spans="3:11" ht="15" customHeight="1" x14ac:dyDescent="0.2">
      <c r="C31" s="196">
        <v>43958</v>
      </c>
      <c r="D31" s="192">
        <v>4500211019</v>
      </c>
      <c r="E31" s="192" t="s">
        <v>278</v>
      </c>
      <c r="F31" s="192" t="str">
        <f>F30</f>
        <v>Tanks</v>
      </c>
      <c r="G31" s="221">
        <v>1131120</v>
      </c>
      <c r="H31" s="201" t="s">
        <v>247</v>
      </c>
      <c r="J31" s="203"/>
      <c r="K31" s="197"/>
    </row>
    <row r="32" spans="3:11" ht="15" customHeight="1" x14ac:dyDescent="0.2">
      <c r="C32" s="196">
        <v>43972</v>
      </c>
      <c r="D32" s="192">
        <v>4500210987</v>
      </c>
      <c r="E32" s="192" t="s">
        <v>170</v>
      </c>
      <c r="F32" s="192" t="s">
        <v>258</v>
      </c>
      <c r="G32" s="221">
        <v>6011300</v>
      </c>
      <c r="H32" s="201" t="s">
        <v>247</v>
      </c>
      <c r="J32" s="203"/>
      <c r="K32" s="197"/>
    </row>
    <row r="33" spans="3:11" ht="15" customHeight="1" x14ac:dyDescent="0.2">
      <c r="C33" s="196">
        <v>43976</v>
      </c>
      <c r="D33" s="192">
        <v>4500211001</v>
      </c>
      <c r="E33" s="192" t="s">
        <v>246</v>
      </c>
      <c r="F33" s="192" t="s">
        <v>257</v>
      </c>
      <c r="G33" s="221">
        <v>47950.000000000007</v>
      </c>
      <c r="H33" s="201" t="s">
        <v>247</v>
      </c>
      <c r="J33" s="203"/>
      <c r="K33" s="197"/>
    </row>
    <row r="34" spans="3:11" ht="15" customHeight="1" x14ac:dyDescent="0.2">
      <c r="C34" s="196">
        <v>43978</v>
      </c>
      <c r="D34" s="192">
        <v>4500211002</v>
      </c>
      <c r="E34" s="192" t="s">
        <v>246</v>
      </c>
      <c r="F34" s="192" t="s">
        <v>257</v>
      </c>
      <c r="G34" s="221">
        <v>44564</v>
      </c>
      <c r="H34" s="201" t="s">
        <v>247</v>
      </c>
      <c r="J34" s="203"/>
      <c r="K34" s="197"/>
    </row>
    <row r="35" spans="3:11" ht="15" customHeight="1" x14ac:dyDescent="0.2">
      <c r="C35" s="196">
        <v>44001</v>
      </c>
      <c r="D35" s="192">
        <v>4500211079</v>
      </c>
      <c r="E35" s="192" t="s">
        <v>316</v>
      </c>
      <c r="F35" s="192" t="s">
        <v>258</v>
      </c>
      <c r="G35" s="221">
        <v>1805000.0000000002</v>
      </c>
      <c r="H35" s="201" t="s">
        <v>247</v>
      </c>
      <c r="J35" s="203"/>
      <c r="K35" s="197"/>
    </row>
    <row r="36" spans="3:11" ht="15" customHeight="1" x14ac:dyDescent="0.2">
      <c r="C36" s="196">
        <v>44007</v>
      </c>
      <c r="D36" s="192">
        <v>4500211019</v>
      </c>
      <c r="E36" s="192" t="s">
        <v>278</v>
      </c>
      <c r="F36" s="192" t="s">
        <v>257</v>
      </c>
      <c r="G36" s="221">
        <v>416196.00000000006</v>
      </c>
      <c r="H36" s="201" t="s">
        <v>247</v>
      </c>
      <c r="J36" s="203"/>
      <c r="K36" s="197"/>
    </row>
    <row r="37" spans="3:11" ht="15" customHeight="1" x14ac:dyDescent="0.2">
      <c r="C37" s="196">
        <v>44008</v>
      </c>
      <c r="D37" s="192">
        <v>4500210987</v>
      </c>
      <c r="E37" s="192" t="s">
        <v>170</v>
      </c>
      <c r="F37" s="192" t="s">
        <v>258</v>
      </c>
      <c r="G37" s="221">
        <v>2737860</v>
      </c>
      <c r="H37" s="201" t="s">
        <v>247</v>
      </c>
      <c r="J37" s="203"/>
      <c r="K37" s="197"/>
    </row>
    <row r="38" spans="3:11" ht="15" customHeight="1" thickBot="1" x14ac:dyDescent="0.25">
      <c r="D38" s="192"/>
      <c r="G38" s="224">
        <f>SUM(G26:G37)</f>
        <v>13100215</v>
      </c>
      <c r="J38" s="203"/>
      <c r="K38" s="197"/>
    </row>
    <row r="39" spans="3:11" ht="15" customHeight="1" x14ac:dyDescent="0.2">
      <c r="D39" s="192"/>
      <c r="G39" s="232"/>
      <c r="J39" s="203"/>
      <c r="K39" s="197"/>
    </row>
    <row r="40" spans="3:11" ht="15" customHeight="1" x14ac:dyDescent="0.2">
      <c r="C40" s="196">
        <v>43950</v>
      </c>
      <c r="D40" s="192">
        <v>4500211111</v>
      </c>
      <c r="E40" s="192" t="s">
        <v>261</v>
      </c>
      <c r="F40" s="192" t="s">
        <v>257</v>
      </c>
      <c r="G40" s="221">
        <v>485415</v>
      </c>
      <c r="H40" s="201" t="s">
        <v>262</v>
      </c>
      <c r="J40" s="203"/>
      <c r="K40" s="197"/>
    </row>
    <row r="41" spans="3:11" ht="15" customHeight="1" x14ac:dyDescent="0.2">
      <c r="C41" s="196">
        <v>43951</v>
      </c>
      <c r="D41" s="192">
        <v>4500211109</v>
      </c>
      <c r="E41" s="192" t="s">
        <v>274</v>
      </c>
      <c r="F41" s="192" t="s">
        <v>258</v>
      </c>
      <c r="G41" s="221">
        <f>2266550/1.15</f>
        <v>1970913.043478261</v>
      </c>
      <c r="H41" s="201" t="s">
        <v>262</v>
      </c>
      <c r="J41" s="203"/>
      <c r="K41" s="197"/>
    </row>
    <row r="42" spans="3:11" ht="15" customHeight="1" x14ac:dyDescent="0.2">
      <c r="C42" s="196">
        <v>43955</v>
      </c>
      <c r="D42" s="192">
        <v>4500211110</v>
      </c>
      <c r="E42" s="192" t="s">
        <v>214</v>
      </c>
      <c r="F42" s="192" t="s">
        <v>258</v>
      </c>
      <c r="G42" s="221">
        <f>1614640.25/1.15</f>
        <v>1404035</v>
      </c>
      <c r="H42" s="201" t="s">
        <v>262</v>
      </c>
      <c r="J42" s="203"/>
      <c r="K42" s="197"/>
    </row>
    <row r="43" spans="3:11" ht="15" customHeight="1" x14ac:dyDescent="0.2">
      <c r="C43" s="196">
        <v>43957</v>
      </c>
      <c r="D43" s="192">
        <v>4500211078</v>
      </c>
      <c r="E43" s="192" t="s">
        <v>280</v>
      </c>
      <c r="F43" s="192" t="s">
        <v>258</v>
      </c>
      <c r="G43" s="221">
        <v>3468300</v>
      </c>
      <c r="H43" s="201" t="s">
        <v>262</v>
      </c>
      <c r="J43" s="203"/>
      <c r="K43" s="197"/>
    </row>
    <row r="44" spans="3:11" ht="15" customHeight="1" x14ac:dyDescent="0.2">
      <c r="C44" s="196">
        <v>43958</v>
      </c>
      <c r="D44" s="192">
        <f>D42</f>
        <v>4500211110</v>
      </c>
      <c r="E44" s="192" t="str">
        <f>E42</f>
        <v>Mthethwa Power House</v>
      </c>
      <c r="F44" s="192" t="str">
        <f>F42</f>
        <v>Tanker</v>
      </c>
      <c r="G44" s="221">
        <v>341000</v>
      </c>
      <c r="H44" s="201" t="s">
        <v>262</v>
      </c>
      <c r="J44" s="203"/>
      <c r="K44" s="197"/>
    </row>
    <row r="45" spans="3:11" ht="15" customHeight="1" x14ac:dyDescent="0.2">
      <c r="C45" s="196">
        <v>43959</v>
      </c>
      <c r="D45" s="192">
        <v>4500211068</v>
      </c>
      <c r="E45" s="192" t="s">
        <v>283</v>
      </c>
      <c r="F45" s="192" t="s">
        <v>258</v>
      </c>
      <c r="G45" s="221">
        <f>723350/1.15</f>
        <v>629000</v>
      </c>
      <c r="H45" s="201" t="s">
        <v>262</v>
      </c>
      <c r="J45" s="203"/>
      <c r="K45" s="197"/>
    </row>
    <row r="46" spans="3:11" ht="15" customHeight="1" x14ac:dyDescent="0.2">
      <c r="C46" s="196">
        <v>43959</v>
      </c>
      <c r="D46" s="192">
        <v>4500211089</v>
      </c>
      <c r="E46" s="192" t="s">
        <v>284</v>
      </c>
      <c r="F46" s="192" t="s">
        <v>258</v>
      </c>
      <c r="G46" s="221">
        <f>989000/1.15</f>
        <v>860000.00000000012</v>
      </c>
      <c r="H46" s="201" t="s">
        <v>262</v>
      </c>
      <c r="J46" s="203"/>
      <c r="K46" s="197"/>
    </row>
    <row r="47" spans="3:11" ht="15" customHeight="1" x14ac:dyDescent="0.2">
      <c r="C47" s="196">
        <v>43964</v>
      </c>
      <c r="D47" s="192">
        <v>4500211070</v>
      </c>
      <c r="E47" s="192" t="s">
        <v>294</v>
      </c>
      <c r="F47" s="192" t="s">
        <v>258</v>
      </c>
      <c r="G47" s="221">
        <v>679520</v>
      </c>
      <c r="H47" s="201" t="s">
        <v>262</v>
      </c>
      <c r="J47" s="203"/>
      <c r="K47" s="197"/>
    </row>
    <row r="48" spans="3:11" ht="15" customHeight="1" x14ac:dyDescent="0.2">
      <c r="C48" s="196">
        <v>43973</v>
      </c>
      <c r="D48" s="192">
        <f>D41</f>
        <v>4500211109</v>
      </c>
      <c r="E48" s="192" t="str">
        <f>E41</f>
        <v>Zenzo Project</v>
      </c>
      <c r="F48" s="192" t="str">
        <f>F41</f>
        <v>Tanker</v>
      </c>
      <c r="G48" s="221">
        <v>1147650</v>
      </c>
      <c r="H48" s="201" t="s">
        <v>262</v>
      </c>
      <c r="J48" s="203"/>
      <c r="K48" s="197"/>
    </row>
    <row r="49" spans="3:11" ht="15" customHeight="1" x14ac:dyDescent="0.2">
      <c r="C49" s="196">
        <v>43985</v>
      </c>
      <c r="D49" s="192">
        <v>4500211078</v>
      </c>
      <c r="E49" s="192" t="s">
        <v>296</v>
      </c>
      <c r="F49" s="192" t="s">
        <v>257</v>
      </c>
      <c r="G49" s="221">
        <v>1770000.0000000002</v>
      </c>
      <c r="H49" s="201" t="s">
        <v>262</v>
      </c>
      <c r="J49" s="203"/>
      <c r="K49" s="197"/>
    </row>
    <row r="50" spans="3:11" ht="14.45" customHeight="1" x14ac:dyDescent="0.2">
      <c r="C50" s="196">
        <v>43985</v>
      </c>
      <c r="D50" s="192">
        <v>4500211110</v>
      </c>
      <c r="E50" s="192" t="s">
        <v>214</v>
      </c>
      <c r="F50" s="192" t="s">
        <v>258</v>
      </c>
      <c r="G50" s="221">
        <v>880000.00000000012</v>
      </c>
      <c r="H50" s="201" t="s">
        <v>262</v>
      </c>
      <c r="J50" s="203"/>
      <c r="K50" s="197"/>
    </row>
    <row r="51" spans="3:11" ht="15" customHeight="1" x14ac:dyDescent="0.2">
      <c r="C51" s="196">
        <v>43986</v>
      </c>
      <c r="D51" s="192">
        <v>4500211110</v>
      </c>
      <c r="E51" s="192" t="s">
        <v>214</v>
      </c>
      <c r="F51" s="192" t="s">
        <v>258</v>
      </c>
      <c r="G51" s="221">
        <v>205500.00000000003</v>
      </c>
      <c r="H51" s="201" t="s">
        <v>262</v>
      </c>
      <c r="J51" s="203"/>
      <c r="K51" s="197"/>
    </row>
    <row r="52" spans="3:11" ht="15" customHeight="1" x14ac:dyDescent="0.2">
      <c r="C52" s="196">
        <v>43993</v>
      </c>
      <c r="D52" s="192">
        <v>4500211070</v>
      </c>
      <c r="E52" s="192" t="s">
        <v>222</v>
      </c>
      <c r="F52" s="192" t="s">
        <v>258</v>
      </c>
      <c r="G52" s="221">
        <v>219116</v>
      </c>
      <c r="H52" s="201" t="s">
        <v>262</v>
      </c>
      <c r="J52" s="203"/>
      <c r="K52" s="197"/>
    </row>
    <row r="53" spans="3:11" ht="15" customHeight="1" x14ac:dyDescent="0.2">
      <c r="C53" s="196">
        <v>43994</v>
      </c>
      <c r="D53" s="192">
        <v>4500211070</v>
      </c>
      <c r="E53" s="192" t="s">
        <v>222</v>
      </c>
      <c r="F53" s="192" t="s">
        <v>258</v>
      </c>
      <c r="G53" s="221">
        <v>587200</v>
      </c>
      <c r="H53" s="201" t="s">
        <v>262</v>
      </c>
      <c r="J53" s="203"/>
      <c r="K53" s="197"/>
    </row>
    <row r="54" spans="3:11" ht="15" customHeight="1" x14ac:dyDescent="0.2">
      <c r="C54" s="196">
        <v>44001</v>
      </c>
      <c r="D54" s="192">
        <v>4500211070</v>
      </c>
      <c r="E54" s="192" t="s">
        <v>222</v>
      </c>
      <c r="F54" s="192" t="s">
        <v>258</v>
      </c>
      <c r="G54" s="221">
        <v>304000</v>
      </c>
      <c r="H54" s="201" t="s">
        <v>262</v>
      </c>
      <c r="J54" s="203"/>
      <c r="K54" s="197"/>
    </row>
    <row r="55" spans="3:11" ht="15" customHeight="1" x14ac:dyDescent="0.2">
      <c r="C55" s="196">
        <v>44005</v>
      </c>
      <c r="D55" s="192">
        <v>4500211089</v>
      </c>
      <c r="E55" s="192" t="s">
        <v>284</v>
      </c>
      <c r="F55" s="192" t="s">
        <v>258</v>
      </c>
      <c r="G55" s="221">
        <v>316800</v>
      </c>
      <c r="H55" s="201" t="s">
        <v>262</v>
      </c>
      <c r="J55" s="203"/>
      <c r="K55" s="197"/>
    </row>
    <row r="56" spans="3:11" ht="15" customHeight="1" x14ac:dyDescent="0.2">
      <c r="C56" s="196">
        <v>44006</v>
      </c>
      <c r="D56" s="192">
        <v>4500211070</v>
      </c>
      <c r="E56" s="192" t="s">
        <v>222</v>
      </c>
      <c r="F56" s="192" t="s">
        <v>258</v>
      </c>
      <c r="G56" s="221">
        <v>169000</v>
      </c>
      <c r="H56" s="201" t="s">
        <v>262</v>
      </c>
      <c r="J56" s="203"/>
      <c r="K56" s="197"/>
    </row>
    <row r="57" spans="3:11" ht="15" customHeight="1" x14ac:dyDescent="0.2">
      <c r="C57" s="196">
        <v>44008</v>
      </c>
      <c r="D57" s="192">
        <v>4500211109</v>
      </c>
      <c r="E57" s="192" t="s">
        <v>274</v>
      </c>
      <c r="F57" s="192" t="s">
        <v>258</v>
      </c>
      <c r="G57" s="221">
        <v>1851450</v>
      </c>
      <c r="H57" s="201" t="s">
        <v>262</v>
      </c>
      <c r="J57" s="203"/>
      <c r="K57" s="197"/>
    </row>
    <row r="58" spans="3:11" ht="15" customHeight="1" x14ac:dyDescent="0.2">
      <c r="C58" s="196">
        <v>44008</v>
      </c>
      <c r="D58" s="192">
        <v>4500211109</v>
      </c>
      <c r="E58" s="192" t="s">
        <v>274</v>
      </c>
      <c r="F58" s="192" t="s">
        <v>258</v>
      </c>
      <c r="G58" s="221">
        <v>833500</v>
      </c>
      <c r="H58" s="201" t="s">
        <v>262</v>
      </c>
      <c r="J58" s="203"/>
      <c r="K58" s="197"/>
    </row>
    <row r="59" spans="3:11" ht="15" customHeight="1" x14ac:dyDescent="0.2">
      <c r="C59" s="196">
        <v>44008</v>
      </c>
      <c r="D59" s="192">
        <v>4500211089</v>
      </c>
      <c r="E59" s="192" t="s">
        <v>284</v>
      </c>
      <c r="F59" s="192" t="s">
        <v>258</v>
      </c>
      <c r="G59" s="221">
        <v>376800</v>
      </c>
      <c r="H59" s="201" t="s">
        <v>262</v>
      </c>
      <c r="J59" s="203"/>
      <c r="K59" s="197"/>
    </row>
    <row r="60" spans="3:11" ht="15" customHeight="1" x14ac:dyDescent="0.2">
      <c r="C60" s="196">
        <v>44008</v>
      </c>
      <c r="D60" s="192">
        <v>4500211070</v>
      </c>
      <c r="E60" s="192" t="s">
        <v>222</v>
      </c>
      <c r="F60" s="192" t="s">
        <v>258</v>
      </c>
      <c r="G60" s="221">
        <v>505950</v>
      </c>
      <c r="H60" s="201" t="s">
        <v>262</v>
      </c>
      <c r="J60" s="203"/>
      <c r="K60" s="197"/>
    </row>
    <row r="61" spans="3:11" ht="15" customHeight="1" thickBot="1" x14ac:dyDescent="0.25">
      <c r="D61" s="192"/>
      <c r="G61" s="224">
        <f>SUM(G40:G60)</f>
        <v>19005149.043478262</v>
      </c>
      <c r="J61" s="203"/>
      <c r="K61" s="197"/>
    </row>
    <row r="62" spans="3:11" ht="15" customHeight="1" x14ac:dyDescent="0.2">
      <c r="D62" s="192"/>
      <c r="G62" s="232"/>
      <c r="J62" s="203"/>
      <c r="K62" s="197"/>
    </row>
    <row r="63" spans="3:11" ht="15" customHeight="1" x14ac:dyDescent="0.2">
      <c r="C63" s="196">
        <v>43938</v>
      </c>
      <c r="D63" s="192">
        <v>4500211001</v>
      </c>
      <c r="E63" s="192" t="s">
        <v>246</v>
      </c>
      <c r="F63" s="192" t="s">
        <v>257</v>
      </c>
      <c r="G63" s="221">
        <v>1916162</v>
      </c>
      <c r="H63" s="201" t="s">
        <v>245</v>
      </c>
      <c r="J63" s="203"/>
      <c r="K63" s="197"/>
    </row>
    <row r="64" spans="3:11" ht="15" customHeight="1" x14ac:dyDescent="0.2">
      <c r="C64" s="196">
        <v>43965</v>
      </c>
      <c r="D64" s="192">
        <v>4500211021</v>
      </c>
      <c r="E64" s="192" t="s">
        <v>327</v>
      </c>
      <c r="F64" s="192" t="s">
        <v>258</v>
      </c>
      <c r="G64" s="221">
        <v>929000</v>
      </c>
      <c r="H64" s="201" t="s">
        <v>245</v>
      </c>
      <c r="J64" s="203"/>
      <c r="K64" s="197"/>
    </row>
    <row r="65" spans="3:11" ht="15" customHeight="1" x14ac:dyDescent="0.2">
      <c r="C65" s="196">
        <v>43971</v>
      </c>
      <c r="D65" s="192">
        <f>D64</f>
        <v>4500211021</v>
      </c>
      <c r="E65" s="192" t="s">
        <v>327</v>
      </c>
      <c r="F65" s="192" t="str">
        <f>F64</f>
        <v>Tanker</v>
      </c>
      <c r="G65" s="221">
        <v>311600</v>
      </c>
      <c r="H65" s="201" t="s">
        <v>245</v>
      </c>
      <c r="J65" s="203"/>
      <c r="K65" s="197"/>
    </row>
    <row r="66" spans="3:11" ht="15" customHeight="1" x14ac:dyDescent="0.2">
      <c r="C66" s="196">
        <v>43972</v>
      </c>
      <c r="D66" s="192">
        <f>D63</f>
        <v>4500211001</v>
      </c>
      <c r="E66" s="192" t="s">
        <v>246</v>
      </c>
      <c r="F66" s="192" t="s">
        <v>257</v>
      </c>
      <c r="G66" s="221">
        <f>548190</f>
        <v>548190</v>
      </c>
      <c r="H66" s="201" t="s">
        <v>245</v>
      </c>
      <c r="J66" s="203"/>
      <c r="K66" s="197"/>
    </row>
    <row r="67" spans="3:11" ht="15" customHeight="1" x14ac:dyDescent="0.2">
      <c r="C67" s="196">
        <v>43970</v>
      </c>
      <c r="D67" s="192">
        <v>4500211021</v>
      </c>
      <c r="E67" s="192" t="s">
        <v>327</v>
      </c>
      <c r="F67" s="192" t="s">
        <v>258</v>
      </c>
      <c r="G67" s="221">
        <v>1216300</v>
      </c>
      <c r="H67" s="201" t="s">
        <v>245</v>
      </c>
      <c r="J67" s="203"/>
      <c r="K67" s="197"/>
    </row>
    <row r="68" spans="3:11" ht="15" customHeight="1" thickBot="1" x14ac:dyDescent="0.25">
      <c r="D68" s="192"/>
      <c r="G68" s="224">
        <f>SUM(G63:G67)</f>
        <v>4921252</v>
      </c>
      <c r="J68" s="203"/>
      <c r="K68" s="197"/>
    </row>
    <row r="69" spans="3:11" ht="15" customHeight="1" x14ac:dyDescent="0.2">
      <c r="D69" s="192"/>
      <c r="G69" s="232"/>
      <c r="J69" s="203"/>
      <c r="K69" s="197"/>
    </row>
    <row r="70" spans="3:11" ht="15" customHeight="1" x14ac:dyDescent="0.2">
      <c r="C70" s="196">
        <v>43941</v>
      </c>
      <c r="D70" s="192">
        <v>4500211001</v>
      </c>
      <c r="E70" s="192" t="s">
        <v>246</v>
      </c>
      <c r="F70" s="192" t="s">
        <v>257</v>
      </c>
      <c r="G70" s="221">
        <v>442212</v>
      </c>
      <c r="H70" s="201" t="s">
        <v>248</v>
      </c>
      <c r="J70" s="203"/>
      <c r="K70" s="197"/>
    </row>
    <row r="71" spans="3:11" ht="15" customHeight="1" x14ac:dyDescent="0.2">
      <c r="C71" s="196">
        <v>43972</v>
      </c>
      <c r="D71" s="192">
        <f>D97</f>
        <v>4500210999</v>
      </c>
      <c r="E71" s="192" t="str">
        <f>E97</f>
        <v>Osher Fuel</v>
      </c>
      <c r="F71" s="192" t="s">
        <v>257</v>
      </c>
      <c r="G71" s="221">
        <v>1164996</v>
      </c>
      <c r="H71" s="201" t="s">
        <v>248</v>
      </c>
      <c r="J71" s="203"/>
      <c r="K71" s="197"/>
    </row>
    <row r="72" spans="3:11" ht="15" customHeight="1" x14ac:dyDescent="0.2">
      <c r="C72" s="196">
        <v>44004</v>
      </c>
      <c r="D72" s="192">
        <v>4500211226</v>
      </c>
      <c r="E72" s="192" t="s">
        <v>318</v>
      </c>
      <c r="F72" s="192" t="s">
        <v>258</v>
      </c>
      <c r="G72" s="221">
        <v>1445000</v>
      </c>
      <c r="H72" s="201" t="s">
        <v>248</v>
      </c>
      <c r="J72" s="260" t="s">
        <v>326</v>
      </c>
      <c r="K72" s="197"/>
    </row>
    <row r="73" spans="3:11" ht="15" customHeight="1" x14ac:dyDescent="0.2">
      <c r="C73" s="196">
        <v>44005</v>
      </c>
      <c r="D73" s="192">
        <v>4500211272</v>
      </c>
      <c r="E73" s="192" t="s">
        <v>319</v>
      </c>
      <c r="F73" s="192" t="s">
        <v>258</v>
      </c>
      <c r="G73" s="221">
        <v>180998.24</v>
      </c>
      <c r="H73" s="201" t="s">
        <v>248</v>
      </c>
      <c r="J73" s="260" t="s">
        <v>326</v>
      </c>
      <c r="K73" s="197"/>
    </row>
    <row r="74" spans="3:11" ht="15" customHeight="1" x14ac:dyDescent="0.2">
      <c r="C74" s="196">
        <v>44007</v>
      </c>
      <c r="D74" s="192">
        <v>4500211224</v>
      </c>
      <c r="E74" s="192" t="s">
        <v>322</v>
      </c>
      <c r="F74" s="192" t="s">
        <v>258</v>
      </c>
      <c r="G74" s="221">
        <v>365000</v>
      </c>
      <c r="H74" s="201" t="s">
        <v>248</v>
      </c>
      <c r="J74" s="260" t="s">
        <v>326</v>
      </c>
      <c r="K74" s="197"/>
    </row>
    <row r="75" spans="3:11" ht="15" customHeight="1" x14ac:dyDescent="0.2">
      <c r="C75" s="196">
        <v>44007</v>
      </c>
      <c r="D75" s="192">
        <v>4500211273</v>
      </c>
      <c r="E75" s="192" t="s">
        <v>323</v>
      </c>
      <c r="F75" s="192" t="s">
        <v>257</v>
      </c>
      <c r="G75" s="221">
        <v>437000.00000000006</v>
      </c>
      <c r="H75" s="201" t="s">
        <v>248</v>
      </c>
      <c r="J75" s="260" t="s">
        <v>326</v>
      </c>
      <c r="K75" s="197"/>
    </row>
    <row r="76" spans="3:11" ht="15" customHeight="1" x14ac:dyDescent="0.2">
      <c r="C76" s="196">
        <v>44008</v>
      </c>
      <c r="D76" s="192">
        <v>4500211225</v>
      </c>
      <c r="E76" s="192" t="s">
        <v>325</v>
      </c>
      <c r="F76" s="192" t="s">
        <v>258</v>
      </c>
      <c r="G76" s="221">
        <v>485000.00000000006</v>
      </c>
      <c r="H76" s="201" t="s">
        <v>248</v>
      </c>
      <c r="J76" s="260" t="s">
        <v>326</v>
      </c>
      <c r="K76" s="197"/>
    </row>
    <row r="77" spans="3:11" ht="15" customHeight="1" thickBot="1" x14ac:dyDescent="0.25">
      <c r="D77" s="192"/>
      <c r="G77" s="224">
        <f>SUM(G70:G76)</f>
        <v>4520206.24</v>
      </c>
      <c r="J77" s="203"/>
      <c r="K77" s="197"/>
    </row>
    <row r="78" spans="3:11" ht="15" customHeight="1" x14ac:dyDescent="0.2">
      <c r="D78" s="192"/>
      <c r="G78" s="232"/>
      <c r="J78" s="203"/>
      <c r="K78" s="197"/>
    </row>
    <row r="79" spans="3:11" ht="15" customHeight="1" x14ac:dyDescent="0.2">
      <c r="C79" s="196">
        <v>43921</v>
      </c>
      <c r="D79" s="192">
        <v>4500211013</v>
      </c>
      <c r="E79" s="192" t="s">
        <v>33</v>
      </c>
      <c r="F79" s="192" t="s">
        <v>257</v>
      </c>
      <c r="G79" s="221">
        <v>1295000</v>
      </c>
      <c r="H79" s="201" t="s">
        <v>27</v>
      </c>
      <c r="J79" s="260" t="s">
        <v>326</v>
      </c>
      <c r="K79" s="197"/>
    </row>
    <row r="80" spans="3:11" ht="15" customHeight="1" x14ac:dyDescent="0.2">
      <c r="C80" s="196">
        <v>43957</v>
      </c>
      <c r="D80" s="192">
        <f>D9</f>
        <v>4500211001</v>
      </c>
      <c r="E80" s="192" t="s">
        <v>277</v>
      </c>
      <c r="F80" s="192" t="str">
        <f>F79</f>
        <v>Tanks</v>
      </c>
      <c r="G80" s="221">
        <v>208119</v>
      </c>
      <c r="H80" s="201" t="str">
        <f>H79</f>
        <v>Western Cape</v>
      </c>
      <c r="J80" s="260" t="s">
        <v>326</v>
      </c>
      <c r="K80" s="197"/>
    </row>
    <row r="81" spans="3:11" ht="15" customHeight="1" x14ac:dyDescent="0.2">
      <c r="C81" s="196">
        <v>43962</v>
      </c>
      <c r="D81" s="192">
        <v>4500211025</v>
      </c>
      <c r="E81" s="192" t="s">
        <v>290</v>
      </c>
      <c r="F81" s="192" t="s">
        <v>258</v>
      </c>
      <c r="G81" s="221">
        <f>847247.28/1.15</f>
        <v>736736.76521739142</v>
      </c>
      <c r="H81" s="201" t="str">
        <f>H80</f>
        <v>Western Cape</v>
      </c>
      <c r="J81" s="260" t="s">
        <v>326</v>
      </c>
      <c r="K81" s="197"/>
    </row>
    <row r="82" spans="3:11" ht="15" customHeight="1" x14ac:dyDescent="0.2">
      <c r="C82" s="196">
        <v>43966</v>
      </c>
      <c r="D82" s="192">
        <f>D80</f>
        <v>4500211001</v>
      </c>
      <c r="E82" s="192" t="str">
        <f>E80</f>
        <v>Jojo Tank</v>
      </c>
      <c r="F82" s="192" t="s">
        <v>257</v>
      </c>
      <c r="G82" s="221">
        <v>20568</v>
      </c>
      <c r="H82" s="201" t="s">
        <v>27</v>
      </c>
      <c r="J82" s="260" t="s">
        <v>326</v>
      </c>
      <c r="K82" s="197"/>
    </row>
    <row r="83" spans="3:11" ht="15" customHeight="1" x14ac:dyDescent="0.2">
      <c r="C83" s="196">
        <v>43979</v>
      </c>
      <c r="D83" s="192"/>
      <c r="E83" s="192" t="s">
        <v>293</v>
      </c>
      <c r="F83" s="192" t="s">
        <v>257</v>
      </c>
      <c r="G83" s="221">
        <v>477750.00000000006</v>
      </c>
      <c r="H83" s="201" t="s">
        <v>27</v>
      </c>
      <c r="J83" s="260" t="s">
        <v>326</v>
      </c>
      <c r="K83" s="197"/>
    </row>
    <row r="84" spans="3:11" ht="15" customHeight="1" x14ac:dyDescent="0.2">
      <c r="C84" s="196">
        <v>44001</v>
      </c>
      <c r="D84" s="192">
        <v>4500211025</v>
      </c>
      <c r="E84" s="192" t="s">
        <v>290</v>
      </c>
      <c r="F84" s="192" t="s">
        <v>258</v>
      </c>
      <c r="G84" s="221">
        <v>1189134.7043478261</v>
      </c>
      <c r="H84" s="201" t="s">
        <v>27</v>
      </c>
      <c r="J84" s="260" t="s">
        <v>326</v>
      </c>
      <c r="K84" s="197"/>
    </row>
    <row r="85" spans="3:11" ht="15" customHeight="1" x14ac:dyDescent="0.2">
      <c r="C85" s="196">
        <v>44006</v>
      </c>
      <c r="D85" s="192"/>
      <c r="E85" s="192" t="s">
        <v>293</v>
      </c>
      <c r="F85" s="192" t="s">
        <v>257</v>
      </c>
      <c r="G85" s="221">
        <v>241500</v>
      </c>
      <c r="H85" s="201" t="s">
        <v>27</v>
      </c>
      <c r="J85" s="260" t="s">
        <v>326</v>
      </c>
      <c r="K85" s="197"/>
    </row>
    <row r="86" spans="3:11" ht="15" customHeight="1" thickBot="1" x14ac:dyDescent="0.25">
      <c r="D86" s="192"/>
      <c r="G86" s="224">
        <f>SUM(G79:G85)</f>
        <v>4168808.4695652174</v>
      </c>
      <c r="J86" s="203"/>
      <c r="K86" s="197"/>
    </row>
    <row r="87" spans="3:11" ht="15" customHeight="1" x14ac:dyDescent="0.2">
      <c r="D87" s="192"/>
      <c r="G87" s="232"/>
      <c r="J87" s="203"/>
      <c r="K87" s="197"/>
    </row>
    <row r="88" spans="3:11" ht="15" customHeight="1" x14ac:dyDescent="0.2">
      <c r="C88" s="196">
        <v>43938</v>
      </c>
      <c r="D88" s="192">
        <v>4500211060</v>
      </c>
      <c r="E88" s="192" t="s">
        <v>250</v>
      </c>
      <c r="F88" s="192" t="s">
        <v>257</v>
      </c>
      <c r="G88" s="221">
        <v>158010.76999999999</v>
      </c>
      <c r="H88" s="201" t="s">
        <v>244</v>
      </c>
      <c r="J88" s="260" t="s">
        <v>326</v>
      </c>
      <c r="K88" s="197"/>
    </row>
    <row r="89" spans="3:11" ht="15" customHeight="1" x14ac:dyDescent="0.2">
      <c r="C89" s="196">
        <v>43938</v>
      </c>
      <c r="D89" s="192">
        <f>D9</f>
        <v>4500211001</v>
      </c>
      <c r="E89" s="192" t="s">
        <v>246</v>
      </c>
      <c r="F89" s="192" t="s">
        <v>257</v>
      </c>
      <c r="G89" s="221">
        <v>635382</v>
      </c>
      <c r="H89" s="201" t="s">
        <v>244</v>
      </c>
      <c r="J89" s="260" t="s">
        <v>326</v>
      </c>
      <c r="K89" s="197"/>
    </row>
    <row r="90" spans="3:11" ht="15" customHeight="1" x14ac:dyDescent="0.2">
      <c r="C90" s="196">
        <v>43949</v>
      </c>
      <c r="D90" s="192">
        <v>4500211077</v>
      </c>
      <c r="E90" s="192" t="s">
        <v>150</v>
      </c>
      <c r="F90" s="192" t="s">
        <v>127</v>
      </c>
      <c r="G90" s="221">
        <v>233000</v>
      </c>
      <c r="H90" s="201" t="s">
        <v>244</v>
      </c>
      <c r="J90" s="260" t="s">
        <v>326</v>
      </c>
      <c r="K90" s="197"/>
    </row>
    <row r="91" spans="3:11" ht="15" customHeight="1" x14ac:dyDescent="0.2">
      <c r="C91" s="196">
        <v>43955</v>
      </c>
      <c r="D91" s="192">
        <f t="shared" ref="D91:F92" si="0">D88</f>
        <v>4500211060</v>
      </c>
      <c r="E91" s="192" t="str">
        <f t="shared" si="0"/>
        <v xml:space="preserve">GWK </v>
      </c>
      <c r="F91" s="192" t="str">
        <f t="shared" si="0"/>
        <v>Tanks</v>
      </c>
      <c r="G91" s="221">
        <f>(31050+226.98)/1.15</f>
        <v>27197.373913043481</v>
      </c>
      <c r="H91" s="201" t="s">
        <v>244</v>
      </c>
      <c r="J91" s="260" t="s">
        <v>326</v>
      </c>
      <c r="K91" s="197"/>
    </row>
    <row r="92" spans="3:11" ht="15" customHeight="1" x14ac:dyDescent="0.2">
      <c r="C92" s="196">
        <v>43959</v>
      </c>
      <c r="D92" s="192">
        <f t="shared" si="0"/>
        <v>4500211001</v>
      </c>
      <c r="E92" s="192" t="str">
        <f t="shared" si="0"/>
        <v>Jojo Tanks</v>
      </c>
      <c r="F92" s="192" t="str">
        <f t="shared" si="0"/>
        <v>Tanks</v>
      </c>
      <c r="G92" s="221">
        <v>219392</v>
      </c>
      <c r="H92" s="201" t="s">
        <v>244</v>
      </c>
      <c r="J92" s="260" t="s">
        <v>326</v>
      </c>
      <c r="K92" s="197"/>
    </row>
    <row r="93" spans="3:11" ht="15" customHeight="1" x14ac:dyDescent="0.2">
      <c r="C93" s="196">
        <v>43962</v>
      </c>
      <c r="D93" s="192">
        <v>4500211122</v>
      </c>
      <c r="E93" s="192" t="s">
        <v>148</v>
      </c>
      <c r="F93" s="192" t="s">
        <v>127</v>
      </c>
      <c r="G93" s="221">
        <f>1205000/1.15</f>
        <v>1047826.0869565218</v>
      </c>
      <c r="H93" s="201" t="s">
        <v>244</v>
      </c>
      <c r="J93" s="260" t="s">
        <v>326</v>
      </c>
      <c r="K93" s="197"/>
    </row>
    <row r="94" spans="3:11" ht="15" customHeight="1" x14ac:dyDescent="0.2">
      <c r="C94" s="196">
        <v>43962</v>
      </c>
      <c r="D94" s="192">
        <f>D90</f>
        <v>4500211077</v>
      </c>
      <c r="E94" s="192" t="str">
        <f>E90</f>
        <v>Keeme Trading</v>
      </c>
      <c r="F94" s="192" t="s">
        <v>127</v>
      </c>
      <c r="G94" s="221">
        <v>226500</v>
      </c>
      <c r="H94" s="201" t="s">
        <v>244</v>
      </c>
      <c r="J94" s="260" t="s">
        <v>326</v>
      </c>
      <c r="K94" s="197"/>
    </row>
    <row r="95" spans="3:11" ht="15" customHeight="1" x14ac:dyDescent="0.2">
      <c r="C95" s="196">
        <v>43963</v>
      </c>
      <c r="D95" s="192">
        <f>D94</f>
        <v>4500211077</v>
      </c>
      <c r="E95" s="192" t="str">
        <f>E94</f>
        <v>Keeme Trading</v>
      </c>
      <c r="F95" s="192" t="s">
        <v>258</v>
      </c>
      <c r="G95" s="221">
        <v>162000</v>
      </c>
      <c r="H95" s="201" t="s">
        <v>244</v>
      </c>
      <c r="J95" s="260" t="s">
        <v>326</v>
      </c>
      <c r="K95" s="197"/>
    </row>
    <row r="96" spans="3:11" ht="15" customHeight="1" x14ac:dyDescent="0.2">
      <c r="C96" s="196">
        <v>43964</v>
      </c>
      <c r="D96" s="192">
        <f>D91</f>
        <v>4500211060</v>
      </c>
      <c r="E96" s="192" t="s">
        <v>250</v>
      </c>
      <c r="F96" s="192" t="str">
        <f>F91</f>
        <v>Tanks</v>
      </c>
      <c r="G96" s="221">
        <v>205097.39</v>
      </c>
      <c r="H96" s="201" t="s">
        <v>244</v>
      </c>
      <c r="J96" s="260" t="s">
        <v>326</v>
      </c>
      <c r="K96" s="197"/>
    </row>
    <row r="97" spans="3:11" ht="15" customHeight="1" x14ac:dyDescent="0.2">
      <c r="C97" s="196">
        <v>43965</v>
      </c>
      <c r="D97" s="192">
        <v>4500210999</v>
      </c>
      <c r="E97" s="192" t="s">
        <v>273</v>
      </c>
      <c r="F97" s="192" t="s">
        <v>257</v>
      </c>
      <c r="G97" s="221">
        <v>1615696.32</v>
      </c>
      <c r="H97" s="201" t="s">
        <v>244</v>
      </c>
      <c r="J97" s="260" t="s">
        <v>326</v>
      </c>
      <c r="K97" s="197"/>
    </row>
    <row r="98" spans="3:11" ht="15" customHeight="1" x14ac:dyDescent="0.2">
      <c r="C98" s="196">
        <v>43980</v>
      </c>
      <c r="D98" s="192">
        <v>4500211077</v>
      </c>
      <c r="E98" s="192" t="s">
        <v>150</v>
      </c>
      <c r="F98" s="192" t="s">
        <v>127</v>
      </c>
      <c r="G98" s="221">
        <v>270000</v>
      </c>
      <c r="H98" s="201" t="s">
        <v>244</v>
      </c>
      <c r="J98" s="260" t="s">
        <v>326</v>
      </c>
      <c r="K98" s="197"/>
    </row>
    <row r="99" spans="3:11" ht="15" customHeight="1" x14ac:dyDescent="0.2">
      <c r="C99" s="196">
        <v>43984</v>
      </c>
      <c r="D99" s="192">
        <v>4500211077</v>
      </c>
      <c r="E99" s="192" t="s">
        <v>150</v>
      </c>
      <c r="F99" s="192" t="s">
        <v>127</v>
      </c>
      <c r="G99" s="221">
        <v>310500</v>
      </c>
      <c r="H99" s="201" t="s">
        <v>244</v>
      </c>
      <c r="J99" s="260" t="s">
        <v>326</v>
      </c>
      <c r="K99" s="197"/>
    </row>
    <row r="100" spans="3:11" ht="15" customHeight="1" x14ac:dyDescent="0.2">
      <c r="C100" s="196">
        <v>44005</v>
      </c>
      <c r="D100" s="192">
        <v>4500211071</v>
      </c>
      <c r="E100" s="192" t="s">
        <v>320</v>
      </c>
      <c r="F100" s="192" t="s">
        <v>127</v>
      </c>
      <c r="G100" s="221">
        <v>1125600</v>
      </c>
      <c r="H100" s="201" t="s">
        <v>244</v>
      </c>
      <c r="J100" s="260" t="s">
        <v>326</v>
      </c>
      <c r="K100" s="197"/>
    </row>
    <row r="101" spans="3:11" ht="15" customHeight="1" x14ac:dyDescent="0.2">
      <c r="C101" s="196">
        <v>44006</v>
      </c>
      <c r="D101" s="192">
        <v>4500211077</v>
      </c>
      <c r="E101" s="192" t="s">
        <v>150</v>
      </c>
      <c r="F101" s="192" t="s">
        <v>127</v>
      </c>
      <c r="G101" s="221">
        <v>636000</v>
      </c>
      <c r="H101" s="201" t="s">
        <v>244</v>
      </c>
      <c r="J101" s="260" t="s">
        <v>326</v>
      </c>
      <c r="K101" s="197"/>
    </row>
    <row r="102" spans="3:11" ht="15" customHeight="1" x14ac:dyDescent="0.2">
      <c r="C102" s="196">
        <v>44007</v>
      </c>
      <c r="D102" s="192">
        <v>4500211078</v>
      </c>
      <c r="E102" s="192" t="s">
        <v>150</v>
      </c>
      <c r="F102" s="192" t="s">
        <v>127</v>
      </c>
      <c r="G102" s="221">
        <v>257600</v>
      </c>
      <c r="H102" s="201" t="s">
        <v>244</v>
      </c>
      <c r="J102" s="260" t="s">
        <v>326</v>
      </c>
      <c r="K102" s="197"/>
    </row>
    <row r="103" spans="3:11" ht="15" customHeight="1" x14ac:dyDescent="0.2">
      <c r="C103" s="196">
        <v>44008</v>
      </c>
      <c r="D103" s="192">
        <v>4500211071</v>
      </c>
      <c r="E103" s="192" t="s">
        <v>320</v>
      </c>
      <c r="F103" s="192" t="s">
        <v>127</v>
      </c>
      <c r="G103" s="221">
        <v>720700</v>
      </c>
      <c r="H103" s="201" t="s">
        <v>244</v>
      </c>
      <c r="J103" s="260" t="s">
        <v>326</v>
      </c>
      <c r="K103" s="197"/>
    </row>
    <row r="104" spans="3:11" ht="15" customHeight="1" x14ac:dyDescent="0.2">
      <c r="C104" s="196">
        <v>44008</v>
      </c>
      <c r="D104" s="192">
        <v>4500211122</v>
      </c>
      <c r="E104" s="192" t="s">
        <v>148</v>
      </c>
      <c r="F104" s="192" t="s">
        <v>127</v>
      </c>
      <c r="G104" s="221">
        <v>818400</v>
      </c>
      <c r="H104" s="201" t="s">
        <v>244</v>
      </c>
      <c r="J104" s="260" t="s">
        <v>326</v>
      </c>
      <c r="K104" s="197"/>
    </row>
    <row r="105" spans="3:11" ht="15" customHeight="1" thickBot="1" x14ac:dyDescent="0.25">
      <c r="D105" s="192"/>
      <c r="G105" s="224">
        <f>SUM(G88:G104)</f>
        <v>8668901.9408695661</v>
      </c>
      <c r="J105" s="203"/>
      <c r="K105" s="197"/>
    </row>
    <row r="106" spans="3:11" ht="15" customHeight="1" x14ac:dyDescent="0.2">
      <c r="D106" s="192"/>
      <c r="G106" s="232"/>
      <c r="J106" s="203"/>
      <c r="K106" s="197"/>
    </row>
    <row r="107" spans="3:11" ht="15" customHeight="1" x14ac:dyDescent="0.2">
      <c r="C107" s="196">
        <v>43950</v>
      </c>
      <c r="D107" s="192">
        <v>4500211086</v>
      </c>
      <c r="E107" s="192" t="s">
        <v>259</v>
      </c>
      <c r="F107" s="192" t="s">
        <v>258</v>
      </c>
      <c r="G107" s="221">
        <v>442000</v>
      </c>
      <c r="H107" s="201" t="s">
        <v>260</v>
      </c>
      <c r="J107" s="260" t="s">
        <v>326</v>
      </c>
      <c r="K107" s="197"/>
    </row>
    <row r="108" spans="3:11" ht="15" customHeight="1" x14ac:dyDescent="0.2">
      <c r="C108" s="196">
        <v>43950</v>
      </c>
      <c r="D108" s="192">
        <v>4500211017</v>
      </c>
      <c r="E108" s="192" t="s">
        <v>155</v>
      </c>
      <c r="F108" s="192" t="s">
        <v>257</v>
      </c>
      <c r="G108" s="221">
        <v>1480401.8</v>
      </c>
      <c r="H108" s="201" t="s">
        <v>260</v>
      </c>
      <c r="J108" s="260" t="s">
        <v>326</v>
      </c>
      <c r="K108" s="197"/>
    </row>
    <row r="109" spans="3:11" ht="15" customHeight="1" x14ac:dyDescent="0.2">
      <c r="C109" s="196">
        <v>43950</v>
      </c>
      <c r="D109" s="192">
        <v>4500211009</v>
      </c>
      <c r="E109" s="192" t="s">
        <v>263</v>
      </c>
      <c r="F109" s="192" t="s">
        <v>257</v>
      </c>
      <c r="G109" s="221">
        <f>(576644.8+864967.2)/1.15</f>
        <v>1253575.6521739131</v>
      </c>
      <c r="H109" s="201" t="s">
        <v>260</v>
      </c>
      <c r="J109" s="260" t="s">
        <v>326</v>
      </c>
      <c r="K109" s="197"/>
    </row>
    <row r="110" spans="3:11" ht="15" customHeight="1" x14ac:dyDescent="0.2">
      <c r="C110" s="196">
        <v>43951</v>
      </c>
      <c r="D110" s="192">
        <v>4500211076</v>
      </c>
      <c r="E110" s="192" t="s">
        <v>157</v>
      </c>
      <c r="F110" s="192" t="s">
        <v>257</v>
      </c>
      <c r="G110" s="221">
        <f>2277567.21/1.15</f>
        <v>1980493.2260869567</v>
      </c>
      <c r="H110" s="201" t="s">
        <v>260</v>
      </c>
      <c r="J110" s="260" t="s">
        <v>326</v>
      </c>
      <c r="K110" s="197"/>
    </row>
    <row r="111" spans="3:11" ht="15" customHeight="1" x14ac:dyDescent="0.2">
      <c r="C111" s="196">
        <v>43959</v>
      </c>
      <c r="D111" s="192">
        <f t="shared" ref="D111:F112" si="1">D107</f>
        <v>4500211086</v>
      </c>
      <c r="E111" s="192" t="s">
        <v>259</v>
      </c>
      <c r="F111" s="192" t="str">
        <f t="shared" si="1"/>
        <v>Tanker</v>
      </c>
      <c r="G111" s="221">
        <f>710125/1.15</f>
        <v>617500</v>
      </c>
      <c r="H111" s="201" t="s">
        <v>260</v>
      </c>
      <c r="J111" s="260" t="s">
        <v>326</v>
      </c>
      <c r="K111" s="197"/>
    </row>
    <row r="112" spans="3:11" ht="15" customHeight="1" x14ac:dyDescent="0.2">
      <c r="C112" s="196">
        <v>43963</v>
      </c>
      <c r="D112" s="192">
        <f t="shared" si="1"/>
        <v>4500211017</v>
      </c>
      <c r="E112" s="192" t="s">
        <v>155</v>
      </c>
      <c r="F112" s="192" t="str">
        <f t="shared" si="1"/>
        <v>Tanks</v>
      </c>
      <c r="G112" s="221">
        <f>1453960.4/1.15</f>
        <v>1264313.3913043479</v>
      </c>
      <c r="H112" s="201" t="s">
        <v>260</v>
      </c>
      <c r="J112" s="260" t="s">
        <v>326</v>
      </c>
      <c r="K112" s="197"/>
    </row>
    <row r="113" spans="3:11" ht="15" customHeight="1" x14ac:dyDescent="0.2">
      <c r="C113" s="196">
        <v>43973</v>
      </c>
      <c r="D113" s="228">
        <v>4500210998</v>
      </c>
      <c r="E113" s="229" t="s">
        <v>292</v>
      </c>
      <c r="F113" s="192" t="s">
        <v>258</v>
      </c>
      <c r="G113" s="221">
        <v>4595850</v>
      </c>
      <c r="H113" s="201" t="s">
        <v>260</v>
      </c>
      <c r="J113" s="260" t="s">
        <v>326</v>
      </c>
      <c r="K113" s="197"/>
    </row>
    <row r="114" spans="3:11" ht="15" customHeight="1" x14ac:dyDescent="0.2">
      <c r="C114" s="196">
        <v>43972</v>
      </c>
      <c r="D114" s="192">
        <v>4500211021</v>
      </c>
      <c r="E114" s="192" t="s">
        <v>327</v>
      </c>
      <c r="F114" s="192" t="s">
        <v>258</v>
      </c>
      <c r="G114" s="221">
        <v>1061800</v>
      </c>
      <c r="H114" s="201" t="s">
        <v>260</v>
      </c>
      <c r="J114" s="260" t="s">
        <v>326</v>
      </c>
      <c r="K114" s="197"/>
    </row>
    <row r="115" spans="3:11" ht="15" customHeight="1" x14ac:dyDescent="0.2">
      <c r="C115" s="196">
        <v>43980</v>
      </c>
      <c r="D115" s="192">
        <v>4500211086</v>
      </c>
      <c r="E115" s="192" t="s">
        <v>259</v>
      </c>
      <c r="F115" s="192" t="s">
        <v>258</v>
      </c>
      <c r="G115" s="221">
        <v>370500</v>
      </c>
      <c r="H115" s="201" t="s">
        <v>260</v>
      </c>
      <c r="J115" s="260" t="s">
        <v>326</v>
      </c>
      <c r="K115" s="197"/>
    </row>
    <row r="116" spans="3:11" ht="15" customHeight="1" x14ac:dyDescent="0.2">
      <c r="C116" s="196">
        <v>44006</v>
      </c>
      <c r="D116" s="192">
        <v>4500211076</v>
      </c>
      <c r="E116" s="192" t="s">
        <v>157</v>
      </c>
      <c r="F116" s="192" t="s">
        <v>257</v>
      </c>
      <c r="G116" s="221">
        <v>2158757</v>
      </c>
      <c r="H116" s="201" t="s">
        <v>260</v>
      </c>
      <c r="J116" s="260" t="s">
        <v>326</v>
      </c>
      <c r="K116" s="197"/>
    </row>
    <row r="117" spans="3:11" ht="15" customHeight="1" x14ac:dyDescent="0.2">
      <c r="C117" s="196">
        <v>44006</v>
      </c>
      <c r="D117" s="192">
        <v>4500211076</v>
      </c>
      <c r="E117" s="192" t="s">
        <v>157</v>
      </c>
      <c r="F117" s="192" t="s">
        <v>257</v>
      </c>
      <c r="G117" s="221">
        <v>2072539.2</v>
      </c>
      <c r="H117" s="201" t="s">
        <v>260</v>
      </c>
      <c r="J117" s="260" t="s">
        <v>326</v>
      </c>
      <c r="K117" s="197"/>
    </row>
    <row r="118" spans="3:11" ht="15" customHeight="1" x14ac:dyDescent="0.2">
      <c r="C118" s="196">
        <v>44008</v>
      </c>
      <c r="D118" s="192">
        <v>4500211086</v>
      </c>
      <c r="E118" s="192" t="s">
        <v>292</v>
      </c>
      <c r="F118" s="192" t="s">
        <v>258</v>
      </c>
      <c r="G118" s="221">
        <v>4467335.5999999996</v>
      </c>
      <c r="H118" s="201" t="s">
        <v>260</v>
      </c>
      <c r="J118" s="260" t="s">
        <v>326</v>
      </c>
      <c r="K118" s="197"/>
    </row>
    <row r="119" spans="3:11" ht="15" customHeight="1" x14ac:dyDescent="0.2">
      <c r="C119" s="196">
        <v>44008</v>
      </c>
      <c r="D119" s="192">
        <f t="shared" ref="D119:F119" si="2">D115</f>
        <v>4500211086</v>
      </c>
      <c r="E119" s="192" t="s">
        <v>259</v>
      </c>
      <c r="F119" s="192" t="str">
        <f t="shared" si="2"/>
        <v>Tanker</v>
      </c>
      <c r="G119" s="221">
        <v>692300</v>
      </c>
      <c r="H119" s="201" t="s">
        <v>260</v>
      </c>
      <c r="J119" s="203"/>
      <c r="K119" s="197"/>
    </row>
    <row r="120" spans="3:11" ht="15" customHeight="1" thickBot="1" x14ac:dyDescent="0.25">
      <c r="D120" s="192"/>
      <c r="G120" s="224">
        <f>SUM(G107:G119)</f>
        <v>22457365.869565219</v>
      </c>
      <c r="J120" s="203"/>
      <c r="K120" s="197"/>
    </row>
    <row r="121" spans="3:11" ht="15" customHeight="1" x14ac:dyDescent="0.2">
      <c r="D121" s="192"/>
      <c r="G121" s="232"/>
      <c r="J121" s="203"/>
      <c r="K121" s="197"/>
    </row>
    <row r="122" spans="3:11" ht="15" customHeight="1" x14ac:dyDescent="0.2">
      <c r="C122" s="196">
        <v>43935</v>
      </c>
      <c r="D122" s="192">
        <v>4500211009</v>
      </c>
      <c r="E122" s="192" t="s">
        <v>83</v>
      </c>
      <c r="F122" s="192" t="s">
        <v>257</v>
      </c>
      <c r="G122" s="221">
        <v>1550660.7999999998</v>
      </c>
      <c r="H122" s="201" t="s">
        <v>84</v>
      </c>
      <c r="J122" s="260" t="s">
        <v>326</v>
      </c>
    </row>
    <row r="123" spans="3:11" ht="15" customHeight="1" x14ac:dyDescent="0.2">
      <c r="C123" s="196">
        <v>43945</v>
      </c>
      <c r="D123" s="192">
        <f>D122</f>
        <v>4500211009</v>
      </c>
      <c r="E123" s="192" t="str">
        <f>E122</f>
        <v>Loxiontym Investment</v>
      </c>
      <c r="F123" s="192" t="str">
        <f>F122</f>
        <v>Tanks</v>
      </c>
      <c r="G123" s="221">
        <v>679905.12</v>
      </c>
      <c r="H123" s="201" t="s">
        <v>84</v>
      </c>
      <c r="J123" s="260" t="s">
        <v>326</v>
      </c>
    </row>
    <row r="124" spans="3:11" ht="15" customHeight="1" x14ac:dyDescent="0.2">
      <c r="C124" s="196">
        <v>43950</v>
      </c>
      <c r="D124" s="192">
        <f>D122</f>
        <v>4500211009</v>
      </c>
      <c r="E124" s="192" t="str">
        <f>E122</f>
        <v>Loxiontym Investment</v>
      </c>
      <c r="F124" s="192" t="s">
        <v>257</v>
      </c>
      <c r="G124" s="221">
        <v>751474.08</v>
      </c>
      <c r="H124" s="201" t="s">
        <v>84</v>
      </c>
      <c r="J124" s="260" t="s">
        <v>326</v>
      </c>
    </row>
    <row r="125" spans="3:11" ht="15" customHeight="1" x14ac:dyDescent="0.2">
      <c r="C125" s="196">
        <v>43955</v>
      </c>
      <c r="D125" s="192">
        <v>4500211111</v>
      </c>
      <c r="E125" s="192" t="s">
        <v>261</v>
      </c>
      <c r="F125" s="192" t="s">
        <v>258</v>
      </c>
      <c r="G125" s="221">
        <f>442750/1.15</f>
        <v>385000.00000000006</v>
      </c>
      <c r="H125" s="201" t="s">
        <v>84</v>
      </c>
      <c r="J125" s="260" t="s">
        <v>326</v>
      </c>
    </row>
    <row r="126" spans="3:11" ht="15" customHeight="1" x14ac:dyDescent="0.2">
      <c r="C126" s="196">
        <v>43957</v>
      </c>
      <c r="D126" s="192">
        <v>4500211028</v>
      </c>
      <c r="E126" s="192" t="s">
        <v>238</v>
      </c>
      <c r="F126" s="192" t="s">
        <v>258</v>
      </c>
      <c r="G126" s="221">
        <v>344000</v>
      </c>
      <c r="H126" s="201" t="s">
        <v>84</v>
      </c>
      <c r="J126" s="260" t="s">
        <v>326</v>
      </c>
    </row>
    <row r="127" spans="3:11" ht="15" customHeight="1" x14ac:dyDescent="0.2">
      <c r="C127" s="196">
        <v>43962</v>
      </c>
      <c r="D127" s="192">
        <f>D126</f>
        <v>4500211028</v>
      </c>
      <c r="E127" s="192" t="s">
        <v>238</v>
      </c>
      <c r="F127" s="192" t="str">
        <f>F126</f>
        <v>Tanker</v>
      </c>
      <c r="G127" s="221">
        <v>256000</v>
      </c>
      <c r="H127" s="201" t="s">
        <v>84</v>
      </c>
      <c r="J127" s="260" t="s">
        <v>326</v>
      </c>
    </row>
    <row r="128" spans="3:11" ht="15" customHeight="1" x14ac:dyDescent="0.2">
      <c r="C128" s="196">
        <v>43965</v>
      </c>
      <c r="D128" s="192">
        <f>D125</f>
        <v>4500211111</v>
      </c>
      <c r="E128" s="192" t="str">
        <f>E125</f>
        <v>Mpangazitha</v>
      </c>
      <c r="F128" s="192" t="s">
        <v>258</v>
      </c>
      <c r="G128" s="221">
        <v>316000</v>
      </c>
      <c r="H128" s="201" t="s">
        <v>84</v>
      </c>
      <c r="J128" s="260" t="s">
        <v>326</v>
      </c>
    </row>
    <row r="129" spans="3:10" ht="15" customHeight="1" x14ac:dyDescent="0.2">
      <c r="C129" s="196">
        <v>43969</v>
      </c>
      <c r="D129" s="192">
        <f>D17</f>
        <v>4500211078</v>
      </c>
      <c r="E129" s="192" t="s">
        <v>198</v>
      </c>
      <c r="F129" s="192" t="s">
        <v>257</v>
      </c>
      <c r="G129" s="221">
        <v>924880</v>
      </c>
      <c r="H129" s="201" t="s">
        <v>84</v>
      </c>
      <c r="J129" s="260" t="s">
        <v>326</v>
      </c>
    </row>
    <row r="130" spans="3:10" ht="15" customHeight="1" x14ac:dyDescent="0.2">
      <c r="C130" s="196">
        <v>43976</v>
      </c>
      <c r="D130" s="192">
        <v>4500211111</v>
      </c>
      <c r="E130" s="192" t="s">
        <v>261</v>
      </c>
      <c r="F130" s="192" t="s">
        <v>256</v>
      </c>
      <c r="G130" s="221">
        <v>400000.00000000006</v>
      </c>
      <c r="H130" s="201" t="s">
        <v>84</v>
      </c>
      <c r="J130" s="260" t="s">
        <v>326</v>
      </c>
    </row>
    <row r="131" spans="3:10" ht="15" customHeight="1" x14ac:dyDescent="0.2">
      <c r="C131" s="196">
        <v>43976</v>
      </c>
      <c r="D131" s="192">
        <v>4500211028</v>
      </c>
      <c r="E131" s="192" t="s">
        <v>238</v>
      </c>
      <c r="F131" s="192" t="s">
        <v>258</v>
      </c>
      <c r="G131" s="221">
        <v>289000</v>
      </c>
      <c r="H131" s="201" t="s">
        <v>84</v>
      </c>
      <c r="J131" s="260" t="s">
        <v>326</v>
      </c>
    </row>
    <row r="132" spans="3:10" ht="15" customHeight="1" x14ac:dyDescent="0.2">
      <c r="C132" s="196">
        <v>43984</v>
      </c>
      <c r="D132" s="192">
        <v>4500210999</v>
      </c>
      <c r="E132" s="192" t="s">
        <v>273</v>
      </c>
      <c r="F132" s="192" t="s">
        <v>257</v>
      </c>
      <c r="G132" s="221">
        <v>698997.60000000009</v>
      </c>
      <c r="H132" s="201" t="s">
        <v>84</v>
      </c>
      <c r="J132" s="260" t="s">
        <v>326</v>
      </c>
    </row>
    <row r="133" spans="3:10" ht="15" customHeight="1" x14ac:dyDescent="0.2">
      <c r="C133" s="196">
        <v>44001</v>
      </c>
      <c r="D133" s="192">
        <v>4500211028</v>
      </c>
      <c r="E133" s="192" t="s">
        <v>238</v>
      </c>
      <c r="F133" s="192" t="s">
        <v>258</v>
      </c>
      <c r="G133" s="221">
        <v>76000</v>
      </c>
      <c r="H133" s="201" t="s">
        <v>84</v>
      </c>
      <c r="J133" s="260" t="s">
        <v>326</v>
      </c>
    </row>
    <row r="134" spans="3:10" ht="15" customHeight="1" thickBot="1" x14ac:dyDescent="0.25">
      <c r="D134" s="192"/>
      <c r="G134" s="224">
        <f>SUM(G122:G133)</f>
        <v>6671917.5999999996</v>
      </c>
      <c r="J134" s="203"/>
    </row>
    <row r="135" spans="3:10" ht="15" customHeight="1" x14ac:dyDescent="0.25">
      <c r="D135" s="192"/>
      <c r="G135" s="223"/>
      <c r="J135" s="203">
        <f t="shared" ref="J135" si="3">G135*1.15</f>
        <v>0</v>
      </c>
    </row>
    <row r="136" spans="3:10" ht="15" customHeight="1" x14ac:dyDescent="0.2">
      <c r="C136" s="192"/>
      <c r="D136" s="192"/>
      <c r="G136" s="192"/>
      <c r="H136" s="192"/>
      <c r="J136" s="203"/>
    </row>
    <row r="137" spans="3:10" ht="15" customHeight="1" x14ac:dyDescent="0.2">
      <c r="J137" s="203"/>
    </row>
    <row r="138" spans="3:10" ht="15.75" thickBot="1" x14ac:dyDescent="0.3">
      <c r="C138" s="205" t="s">
        <v>249</v>
      </c>
      <c r="D138" s="205"/>
      <c r="E138" s="195"/>
      <c r="F138" s="195"/>
      <c r="G138" s="225">
        <f>G134+G24+G86+G105+G68+G38+G77+G120+G61</f>
        <v>104908167.49913044</v>
      </c>
      <c r="J138" s="203"/>
    </row>
    <row r="139" spans="3:10" ht="15" thickTop="1" x14ac:dyDescent="0.2">
      <c r="C139" s="192"/>
      <c r="D139" s="192"/>
      <c r="J139" s="203"/>
    </row>
    <row r="140" spans="3:10" ht="15" x14ac:dyDescent="0.25">
      <c r="C140" s="354" t="s">
        <v>270</v>
      </c>
      <c r="D140" s="354"/>
      <c r="E140" s="354"/>
      <c r="F140" s="354"/>
      <c r="G140" s="354"/>
      <c r="H140" s="354"/>
      <c r="J140" s="203"/>
    </row>
    <row r="141" spans="3:10" ht="15" x14ac:dyDescent="0.25">
      <c r="C141" s="198" t="s">
        <v>30</v>
      </c>
      <c r="D141" s="199" t="s">
        <v>87</v>
      </c>
      <c r="E141" s="200" t="s">
        <v>31</v>
      </c>
      <c r="F141" s="200"/>
      <c r="G141" s="222" t="s">
        <v>269</v>
      </c>
      <c r="H141" s="209" t="s">
        <v>32</v>
      </c>
      <c r="J141" s="203"/>
    </row>
    <row r="142" spans="3:10" x14ac:dyDescent="0.2">
      <c r="C142" s="196">
        <v>43949</v>
      </c>
      <c r="E142" s="196" t="s">
        <v>251</v>
      </c>
      <c r="G142" s="221">
        <f>2759280/1.15</f>
        <v>2399373.9130434785</v>
      </c>
      <c r="J142" s="203"/>
    </row>
    <row r="143" spans="3:10" x14ac:dyDescent="0.2">
      <c r="C143" s="196">
        <v>43949</v>
      </c>
      <c r="E143" s="196" t="s">
        <v>252</v>
      </c>
      <c r="G143" s="221">
        <f>623655.39</f>
        <v>623655.39</v>
      </c>
      <c r="J143" s="203"/>
    </row>
    <row r="144" spans="3:10" x14ac:dyDescent="0.2">
      <c r="C144" s="196">
        <v>43949</v>
      </c>
      <c r="E144" s="196" t="s">
        <v>265</v>
      </c>
      <c r="G144" s="221">
        <f>3173172/1.15</f>
        <v>2759280</v>
      </c>
      <c r="J144" s="203"/>
    </row>
    <row r="145" spans="3:10" x14ac:dyDescent="0.2">
      <c r="C145" s="196">
        <v>43949</v>
      </c>
      <c r="E145" s="196" t="s">
        <v>253</v>
      </c>
      <c r="G145" s="221">
        <f>2750294/1.15</f>
        <v>2391560</v>
      </c>
      <c r="J145" s="203"/>
    </row>
    <row r="146" spans="3:10" x14ac:dyDescent="0.2">
      <c r="C146" s="204">
        <v>43957</v>
      </c>
      <c r="D146" s="192"/>
      <c r="E146" s="196" t="s">
        <v>279</v>
      </c>
      <c r="G146" s="221">
        <v>2399585</v>
      </c>
      <c r="J146" s="203"/>
    </row>
    <row r="147" spans="3:10" x14ac:dyDescent="0.2">
      <c r="C147" s="204">
        <v>43962</v>
      </c>
      <c r="D147" s="192"/>
      <c r="E147" s="196" t="s">
        <v>285</v>
      </c>
      <c r="G147" s="221">
        <v>2806600</v>
      </c>
      <c r="J147" s="203"/>
    </row>
    <row r="148" spans="3:10" x14ac:dyDescent="0.2">
      <c r="C148" s="204">
        <v>43962</v>
      </c>
      <c r="D148" s="192"/>
      <c r="E148" s="196" t="s">
        <v>286</v>
      </c>
      <c r="G148" s="221">
        <v>845891.30434782617</v>
      </c>
      <c r="J148" s="203"/>
    </row>
    <row r="149" spans="3:10" x14ac:dyDescent="0.2">
      <c r="C149" s="204">
        <v>43962</v>
      </c>
      <c r="D149" s="192"/>
      <c r="E149" s="196" t="s">
        <v>287</v>
      </c>
      <c r="G149" s="221">
        <v>1496363</v>
      </c>
      <c r="J149" s="203"/>
    </row>
    <row r="150" spans="3:10" x14ac:dyDescent="0.2">
      <c r="C150" s="204">
        <v>43962</v>
      </c>
      <c r="D150" s="192"/>
      <c r="E150" s="196" t="s">
        <v>288</v>
      </c>
      <c r="G150" s="221">
        <v>1232706.9565217393</v>
      </c>
      <c r="J150" s="203"/>
    </row>
    <row r="151" spans="3:10" x14ac:dyDescent="0.2">
      <c r="C151" s="204">
        <v>43962</v>
      </c>
      <c r="D151" s="192"/>
      <c r="E151" s="196" t="s">
        <v>289</v>
      </c>
      <c r="G151" s="221">
        <v>1095804.3478260871</v>
      </c>
      <c r="J151" s="203"/>
    </row>
    <row r="152" spans="3:10" x14ac:dyDescent="0.2">
      <c r="C152" s="204">
        <v>43962</v>
      </c>
      <c r="D152" s="192"/>
      <c r="E152" s="196" t="s">
        <v>291</v>
      </c>
      <c r="G152" s="221">
        <f>1680482.39/1.15</f>
        <v>1461289.0347826087</v>
      </c>
      <c r="J152" s="203"/>
    </row>
    <row r="153" spans="3:10" x14ac:dyDescent="0.2">
      <c r="C153" s="204">
        <v>43963</v>
      </c>
      <c r="D153" s="192"/>
      <c r="E153" s="196" t="str">
        <f>E148</f>
        <v>Speedy Two Star</v>
      </c>
      <c r="G153" s="221">
        <f>647500/1.15</f>
        <v>563043.47826086963</v>
      </c>
      <c r="J153" s="203"/>
    </row>
    <row r="154" spans="3:10" x14ac:dyDescent="0.2">
      <c r="C154" s="204">
        <v>43965</v>
      </c>
      <c r="D154" s="192"/>
      <c r="E154" s="196" t="s">
        <v>297</v>
      </c>
      <c r="G154" s="221">
        <v>2399585</v>
      </c>
      <c r="J154" s="203"/>
    </row>
    <row r="155" spans="3:10" x14ac:dyDescent="0.2">
      <c r="C155" s="204">
        <v>43966</v>
      </c>
      <c r="D155" s="192"/>
      <c r="E155" s="196" t="s">
        <v>298</v>
      </c>
      <c r="G155" s="221">
        <v>1620275.5</v>
      </c>
      <c r="J155" s="203"/>
    </row>
    <row r="156" spans="3:10" x14ac:dyDescent="0.2">
      <c r="C156" s="204">
        <v>43966</v>
      </c>
      <c r="D156" s="192"/>
      <c r="E156" s="196" t="s">
        <v>299</v>
      </c>
      <c r="G156" s="221">
        <f>G155</f>
        <v>1620275.5</v>
      </c>
      <c r="J156" s="203"/>
    </row>
    <row r="157" spans="3:10" x14ac:dyDescent="0.2">
      <c r="C157" s="204">
        <f>C185</f>
        <v>43966</v>
      </c>
      <c r="D157" s="192"/>
      <c r="E157" s="196" t="s">
        <v>303</v>
      </c>
      <c r="G157" s="221">
        <v>1408934.78</v>
      </c>
      <c r="J157" s="203"/>
    </row>
    <row r="158" spans="3:10" x14ac:dyDescent="0.2">
      <c r="C158" s="204">
        <v>43973</v>
      </c>
      <c r="D158" s="192"/>
      <c r="E158" s="196" t="s">
        <v>300</v>
      </c>
      <c r="G158" s="221">
        <v>1496363</v>
      </c>
      <c r="J158" s="203"/>
    </row>
    <row r="159" spans="3:10" x14ac:dyDescent="0.2">
      <c r="C159" s="204">
        <v>43976</v>
      </c>
      <c r="D159" s="192"/>
      <c r="E159" s="196" t="s">
        <v>309</v>
      </c>
      <c r="G159" s="221">
        <v>990735.65217391308</v>
      </c>
      <c r="J159" s="203"/>
    </row>
    <row r="160" spans="3:10" x14ac:dyDescent="0.2">
      <c r="C160" s="204">
        <v>43978</v>
      </c>
      <c r="D160" s="192"/>
      <c r="E160" s="196" t="s">
        <v>308</v>
      </c>
      <c r="G160" s="221">
        <v>2397315</v>
      </c>
      <c r="J160" s="203"/>
    </row>
    <row r="161" spans="3:10" x14ac:dyDescent="0.2">
      <c r="C161" s="204">
        <v>43978</v>
      </c>
      <c r="D161" s="192"/>
      <c r="E161" s="196" t="s">
        <v>307</v>
      </c>
      <c r="G161" s="221">
        <v>1232706.9565217393</v>
      </c>
      <c r="J161" s="203"/>
    </row>
    <row r="162" spans="3:10" x14ac:dyDescent="0.2">
      <c r="C162" s="236">
        <v>43990</v>
      </c>
      <c r="D162" s="237"/>
      <c r="E162" s="238" t="s">
        <v>313</v>
      </c>
      <c r="F162" s="237"/>
      <c r="G162" s="239">
        <v>2399585</v>
      </c>
      <c r="J162" s="203"/>
    </row>
    <row r="163" spans="3:10" x14ac:dyDescent="0.2">
      <c r="C163" s="236">
        <v>43990</v>
      </c>
      <c r="D163" s="237"/>
      <c r="E163" s="238" t="s">
        <v>314</v>
      </c>
      <c r="F163" s="237"/>
      <c r="G163" s="239">
        <v>2399585</v>
      </c>
      <c r="J163" s="203"/>
    </row>
    <row r="164" spans="3:10" ht="15.75" thickBot="1" x14ac:dyDescent="0.3">
      <c r="C164" s="205" t="s">
        <v>249</v>
      </c>
      <c r="D164" s="205"/>
      <c r="E164" s="195"/>
      <c r="F164" s="195"/>
      <c r="G164" s="225">
        <f>SUM(G142:G163)</f>
        <v>38040513.813478261</v>
      </c>
      <c r="J164" s="203"/>
    </row>
    <row r="165" spans="3:10" ht="15" thickTop="1" x14ac:dyDescent="0.2">
      <c r="C165" s="236"/>
      <c r="D165" s="237"/>
      <c r="E165" s="238"/>
      <c r="F165" s="237"/>
      <c r="G165" s="239"/>
      <c r="J165" s="203"/>
    </row>
    <row r="166" spans="3:10" ht="15" x14ac:dyDescent="0.25">
      <c r="C166" s="354" t="s">
        <v>317</v>
      </c>
      <c r="D166" s="354"/>
      <c r="E166" s="354"/>
      <c r="F166" s="354"/>
      <c r="G166" s="354"/>
      <c r="H166" s="354"/>
      <c r="J166" s="203"/>
    </row>
    <row r="167" spans="3:10" ht="15" x14ac:dyDescent="0.25">
      <c r="C167" s="198" t="s">
        <v>30</v>
      </c>
      <c r="D167" s="199" t="s">
        <v>87</v>
      </c>
      <c r="E167" s="200" t="s">
        <v>31</v>
      </c>
      <c r="F167" s="200"/>
      <c r="G167" s="222" t="s">
        <v>269</v>
      </c>
      <c r="H167" s="209" t="s">
        <v>32</v>
      </c>
      <c r="J167" s="203"/>
    </row>
    <row r="168" spans="3:10" x14ac:dyDescent="0.2">
      <c r="C168" s="236">
        <v>43970</v>
      </c>
      <c r="D168" s="237"/>
      <c r="E168" s="238" t="s">
        <v>305</v>
      </c>
      <c r="F168" s="237"/>
      <c r="G168" s="239">
        <v>167720</v>
      </c>
      <c r="H168" s="210">
        <f>G164/10</f>
        <v>3804051.3813478262</v>
      </c>
      <c r="I168" s="203"/>
      <c r="J168" s="203"/>
    </row>
    <row r="169" spans="3:10" x14ac:dyDescent="0.2">
      <c r="C169" s="204">
        <v>43972</v>
      </c>
      <c r="D169" s="192"/>
      <c r="E169" s="196" t="s">
        <v>310</v>
      </c>
      <c r="G169" s="221">
        <v>319581.84000000003</v>
      </c>
      <c r="H169" s="210"/>
      <c r="I169" s="203"/>
      <c r="J169" s="203"/>
    </row>
    <row r="170" spans="3:10" x14ac:dyDescent="0.2">
      <c r="C170" s="204">
        <v>43973</v>
      </c>
      <c r="D170" s="192"/>
      <c r="E170" s="196" t="s">
        <v>311</v>
      </c>
      <c r="G170" s="221">
        <v>469625.17</v>
      </c>
      <c r="H170" s="212"/>
      <c r="J170" s="203"/>
    </row>
    <row r="171" spans="3:10" x14ac:dyDescent="0.2">
      <c r="C171" s="204">
        <v>43973</v>
      </c>
      <c r="D171" s="192"/>
      <c r="E171" s="192" t="s">
        <v>312</v>
      </c>
      <c r="G171" s="221">
        <v>376763.46956521738</v>
      </c>
      <c r="H171" s="212"/>
      <c r="J171" s="203"/>
    </row>
    <row r="172" spans="3:10" x14ac:dyDescent="0.2">
      <c r="C172" s="204">
        <v>43978</v>
      </c>
      <c r="D172" s="192"/>
      <c r="E172" s="196" t="s">
        <v>311</v>
      </c>
      <c r="G172" s="221">
        <v>106274.21739130437</v>
      </c>
      <c r="H172" s="212"/>
      <c r="J172" s="203"/>
    </row>
    <row r="173" spans="3:10" x14ac:dyDescent="0.2">
      <c r="C173" s="236">
        <v>43991</v>
      </c>
      <c r="D173" s="237"/>
      <c r="E173" s="238" t="s">
        <v>305</v>
      </c>
      <c r="F173" s="237"/>
      <c r="G173" s="239">
        <v>19032</v>
      </c>
    </row>
    <row r="174" spans="3:10" x14ac:dyDescent="0.2">
      <c r="C174" s="236">
        <v>43990</v>
      </c>
      <c r="D174" s="192"/>
      <c r="E174" s="196" t="s">
        <v>310</v>
      </c>
      <c r="G174" s="221">
        <v>219869.09565217391</v>
      </c>
    </row>
    <row r="175" spans="3:10" x14ac:dyDescent="0.2">
      <c r="C175" s="204">
        <v>44004</v>
      </c>
      <c r="D175" s="192"/>
      <c r="E175" s="196" t="s">
        <v>311</v>
      </c>
      <c r="G175" s="221">
        <v>89720.652173913055</v>
      </c>
    </row>
    <row r="176" spans="3:10" x14ac:dyDescent="0.2">
      <c r="C176" s="236">
        <v>44004</v>
      </c>
      <c r="D176" s="192"/>
      <c r="E176" s="196" t="s">
        <v>310</v>
      </c>
      <c r="G176" s="221">
        <v>54742.269565217401</v>
      </c>
    </row>
    <row r="177" spans="3:10" x14ac:dyDescent="0.2">
      <c r="C177" s="236"/>
      <c r="D177" s="192"/>
      <c r="E177" s="196" t="s">
        <v>324</v>
      </c>
      <c r="G177" s="221">
        <v>2503159.06</v>
      </c>
    </row>
    <row r="178" spans="3:10" ht="15.75" thickBot="1" x14ac:dyDescent="0.3">
      <c r="C178" s="205" t="s">
        <v>249</v>
      </c>
      <c r="D178" s="192"/>
      <c r="G178" s="241">
        <f>SUM(G168:G177)</f>
        <v>4326487.7743478268</v>
      </c>
    </row>
    <row r="179" spans="3:10" ht="15" thickTop="1" x14ac:dyDescent="0.2">
      <c r="C179" s="192"/>
      <c r="D179" s="192"/>
      <c r="G179" s="192"/>
    </row>
    <row r="180" spans="3:10" x14ac:dyDescent="0.2">
      <c r="C180" s="236"/>
      <c r="D180" s="192"/>
      <c r="E180" s="196"/>
    </row>
    <row r="181" spans="3:10" ht="15" x14ac:dyDescent="0.25">
      <c r="C181" s="354" t="s">
        <v>306</v>
      </c>
      <c r="D181" s="354"/>
      <c r="E181" s="354"/>
      <c r="F181" s="354"/>
      <c r="G181" s="354"/>
      <c r="H181" s="354"/>
      <c r="J181" s="203"/>
    </row>
    <row r="182" spans="3:10" ht="15" x14ac:dyDescent="0.25">
      <c r="C182" s="198" t="s">
        <v>30</v>
      </c>
      <c r="D182" s="199" t="s">
        <v>87</v>
      </c>
      <c r="E182" s="200" t="s">
        <v>31</v>
      </c>
      <c r="F182" s="200"/>
      <c r="G182" s="222" t="s">
        <v>269</v>
      </c>
      <c r="H182" s="209" t="s">
        <v>32</v>
      </c>
      <c r="J182" s="203"/>
    </row>
    <row r="183" spans="3:10" x14ac:dyDescent="0.2">
      <c r="C183" s="204"/>
      <c r="D183" s="192"/>
      <c r="E183" s="196"/>
      <c r="J183" s="203"/>
    </row>
    <row r="184" spans="3:10" x14ac:dyDescent="0.2">
      <c r="C184" s="204">
        <v>43966</v>
      </c>
      <c r="D184" s="192"/>
      <c r="E184" s="196" t="s">
        <v>301</v>
      </c>
      <c r="G184" s="221">
        <v>2998520</v>
      </c>
      <c r="J184" s="203"/>
    </row>
    <row r="185" spans="3:10" x14ac:dyDescent="0.2">
      <c r="C185" s="204">
        <f>C184</f>
        <v>43966</v>
      </c>
      <c r="D185" s="192"/>
      <c r="E185" s="196" t="s">
        <v>302</v>
      </c>
      <c r="G185" s="221">
        <v>2982336</v>
      </c>
      <c r="J185" s="203"/>
    </row>
    <row r="186" spans="3:10" x14ac:dyDescent="0.2">
      <c r="C186" s="204">
        <f>C157</f>
        <v>43966</v>
      </c>
      <c r="D186" s="192"/>
      <c r="E186" s="196" t="s">
        <v>304</v>
      </c>
      <c r="G186" s="221">
        <v>2603902.61</v>
      </c>
      <c r="J186" s="203"/>
    </row>
    <row r="187" spans="3:10" ht="15.75" thickBot="1" x14ac:dyDescent="0.3">
      <c r="C187" s="205" t="s">
        <v>249</v>
      </c>
      <c r="D187" s="192"/>
      <c r="E187" s="196"/>
      <c r="G187" s="225">
        <f>SUM(G184:G186)</f>
        <v>8584758.6099999994</v>
      </c>
      <c r="J187" s="203"/>
    </row>
    <row r="188" spans="3:10" ht="15" thickTop="1" x14ac:dyDescent="0.2">
      <c r="C188" s="192"/>
      <c r="D188" s="192"/>
      <c r="G188" s="192"/>
      <c r="J188" s="203"/>
    </row>
    <row r="189" spans="3:10" x14ac:dyDescent="0.2">
      <c r="C189" s="204"/>
      <c r="D189" s="192"/>
      <c r="E189" s="196"/>
      <c r="J189" s="203"/>
    </row>
    <row r="190" spans="3:10" ht="15" x14ac:dyDescent="0.25">
      <c r="D190" s="205" t="s">
        <v>254</v>
      </c>
      <c r="E190" s="195"/>
      <c r="F190" s="195"/>
      <c r="G190" s="223">
        <f>G138+G164+G178+G187</f>
        <v>155859927.69695657</v>
      </c>
      <c r="H190" s="211"/>
    </row>
    <row r="191" spans="3:10" x14ac:dyDescent="0.2">
      <c r="D191" s="196" t="s">
        <v>255</v>
      </c>
      <c r="E191" s="203"/>
      <c r="F191" s="203"/>
      <c r="G191" s="221">
        <f>G190*1.05</f>
        <v>163652924.08180442</v>
      </c>
      <c r="H191" s="227"/>
      <c r="J191" s="203"/>
    </row>
    <row r="192" spans="3:10" ht="15" thickBot="1" x14ac:dyDescent="0.25">
      <c r="E192" s="203"/>
      <c r="F192" s="203"/>
      <c r="H192" s="211"/>
      <c r="J192" s="203"/>
    </row>
    <row r="193" spans="3:10" ht="15.75" thickBot="1" x14ac:dyDescent="0.3">
      <c r="C193" s="206" t="s">
        <v>266</v>
      </c>
      <c r="D193" s="207"/>
      <c r="E193" s="208"/>
      <c r="F193" s="208"/>
      <c r="G193" s="226" t="e">
        <f>#REF!</f>
        <v>#REF!</v>
      </c>
      <c r="H193" s="192"/>
      <c r="J193" s="234"/>
    </row>
    <row r="194" spans="3:10" x14ac:dyDescent="0.2">
      <c r="H194" s="212"/>
    </row>
  </sheetData>
  <mergeCells count="4">
    <mergeCell ref="C3:H3"/>
    <mergeCell ref="C140:H140"/>
    <mergeCell ref="C181:H181"/>
    <mergeCell ref="C166:H166"/>
  </mergeCells>
  <pageMargins left="0.7" right="0.7" top="0.75" bottom="0.75" header="0.3" footer="0.3"/>
  <pageSetup paperSize="9" scale="7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showGridLines="0" zoomScale="120" zoomScaleNormal="120" workbookViewId="0">
      <selection activeCell="D7" sqref="D7"/>
    </sheetView>
  </sheetViews>
  <sheetFormatPr defaultColWidth="8.5703125" defaultRowHeight="14.25" x14ac:dyDescent="0.2"/>
  <cols>
    <col min="1" max="1" width="5.140625" style="192" customWidth="1"/>
    <col min="2" max="2" width="9.42578125" style="192" bestFit="1" customWidth="1"/>
    <col min="3" max="3" width="12.42578125" style="192" customWidth="1"/>
    <col min="4" max="4" width="21.85546875" style="192" customWidth="1"/>
    <col min="5" max="5" width="13.5703125" style="192" bestFit="1" customWidth="1"/>
    <col min="6" max="6" width="16.140625" style="192" bestFit="1" customWidth="1"/>
    <col min="7" max="16384" width="8.5703125" style="192"/>
  </cols>
  <sheetData>
    <row r="2" spans="1:7" x14ac:dyDescent="0.2">
      <c r="A2" s="220" t="s">
        <v>75</v>
      </c>
      <c r="B2" s="193"/>
      <c r="C2" s="193"/>
      <c r="D2" s="193"/>
    </row>
    <row r="3" spans="1:7" x14ac:dyDescent="0.2">
      <c r="B3" s="193"/>
      <c r="C3" s="193"/>
      <c r="D3" s="193"/>
    </row>
    <row r="4" spans="1:7" x14ac:dyDescent="0.2">
      <c r="B4" s="193"/>
      <c r="C4" s="215" t="s">
        <v>76</v>
      </c>
      <c r="D4" s="216"/>
    </row>
    <row r="5" spans="1:7" x14ac:dyDescent="0.2">
      <c r="B5" s="193"/>
      <c r="C5" s="193"/>
      <c r="D5" s="193"/>
    </row>
    <row r="6" spans="1:7" x14ac:dyDescent="0.2">
      <c r="B6" s="217" t="s">
        <v>74</v>
      </c>
      <c r="C6" s="193" t="s">
        <v>70</v>
      </c>
      <c r="D6" s="168">
        <v>4000000</v>
      </c>
      <c r="E6" s="194"/>
      <c r="F6" s="168"/>
      <c r="G6" s="230"/>
    </row>
    <row r="7" spans="1:7" x14ac:dyDescent="0.2">
      <c r="B7" s="193"/>
      <c r="C7" s="193" t="s">
        <v>69</v>
      </c>
      <c r="D7" s="218">
        <v>110000000</v>
      </c>
      <c r="F7" s="168"/>
      <c r="G7" s="230"/>
    </row>
    <row r="8" spans="1:7" x14ac:dyDescent="0.2">
      <c r="B8" s="193"/>
      <c r="C8" s="193" t="s">
        <v>71</v>
      </c>
      <c r="D8" s="235">
        <v>4000000</v>
      </c>
      <c r="E8" s="240"/>
      <c r="F8" s="168"/>
      <c r="G8" s="230"/>
    </row>
    <row r="9" spans="1:7" x14ac:dyDescent="0.2">
      <c r="B9" s="217" t="s">
        <v>73</v>
      </c>
      <c r="C9" s="193"/>
      <c r="D9" s="233"/>
      <c r="F9" s="231"/>
      <c r="G9" s="230"/>
    </row>
    <row r="10" spans="1:7" ht="15" thickBot="1" x14ac:dyDescent="0.25">
      <c r="B10" s="193"/>
      <c r="C10" s="193" t="s">
        <v>272</v>
      </c>
      <c r="D10" s="219">
        <f>SUM(D6:D9)</f>
        <v>118000000</v>
      </c>
    </row>
    <row r="11" spans="1:7" ht="15" thickTop="1" x14ac:dyDescent="0.2">
      <c r="F11" s="203"/>
    </row>
    <row r="12" spans="1:7" x14ac:dyDescent="0.2">
      <c r="D12" s="203"/>
      <c r="F12" s="203"/>
    </row>
    <row r="13" spans="1:7" x14ac:dyDescent="0.2">
      <c r="E13" s="20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zoomScale="185" workbookViewId="0">
      <selection activeCell="A11" sqref="A11"/>
    </sheetView>
  </sheetViews>
  <sheetFormatPr defaultColWidth="15.140625" defaultRowHeight="11.25" x14ac:dyDescent="0.2"/>
  <cols>
    <col min="1" max="2" width="15.140625" style="26"/>
    <col min="3" max="3" width="20.140625" style="26" customWidth="1"/>
    <col min="4" max="16384" width="15.140625" style="26"/>
  </cols>
  <sheetData>
    <row r="1" spans="1:5" x14ac:dyDescent="0.2">
      <c r="A1" s="23"/>
      <c r="B1" s="24"/>
      <c r="C1" s="24"/>
      <c r="D1" s="24"/>
      <c r="E1" s="25"/>
    </row>
    <row r="2" spans="1:5" x14ac:dyDescent="0.2">
      <c r="A2" s="27"/>
      <c r="B2" s="28" t="s">
        <v>34</v>
      </c>
      <c r="C2" s="28"/>
      <c r="D2" s="28"/>
      <c r="E2" s="29">
        <v>43919</v>
      </c>
    </row>
    <row r="3" spans="1:5" x14ac:dyDescent="0.2">
      <c r="A3" s="27"/>
      <c r="B3" s="28"/>
      <c r="C3" s="28"/>
      <c r="D3" s="28"/>
      <c r="E3" s="30"/>
    </row>
    <row r="4" spans="1:5" x14ac:dyDescent="0.2">
      <c r="A4" s="27"/>
      <c r="B4" s="355" t="s">
        <v>35</v>
      </c>
      <c r="C4" s="356"/>
      <c r="D4" s="356"/>
      <c r="E4" s="30"/>
    </row>
    <row r="5" spans="1:5" x14ac:dyDescent="0.2">
      <c r="A5" s="27"/>
      <c r="B5" s="28"/>
      <c r="C5" s="28"/>
      <c r="D5" s="28"/>
      <c r="E5" s="30"/>
    </row>
    <row r="6" spans="1:5" x14ac:dyDescent="0.2">
      <c r="A6" s="27"/>
      <c r="B6" s="31" t="s">
        <v>36</v>
      </c>
      <c r="C6" s="32" t="s">
        <v>37</v>
      </c>
      <c r="D6" s="32" t="s">
        <v>38</v>
      </c>
      <c r="E6" s="30"/>
    </row>
    <row r="7" spans="1:5" x14ac:dyDescent="0.2">
      <c r="A7" s="27"/>
      <c r="B7" s="33"/>
      <c r="C7" s="34"/>
      <c r="D7" s="34"/>
      <c r="E7" s="30"/>
    </row>
    <row r="8" spans="1:5" ht="22.5" x14ac:dyDescent="0.2">
      <c r="A8" s="27"/>
      <c r="B8" s="33" t="s">
        <v>39</v>
      </c>
      <c r="C8" s="34" t="s">
        <v>40</v>
      </c>
      <c r="D8" s="34" t="s">
        <v>41</v>
      </c>
      <c r="E8" s="30"/>
    </row>
    <row r="9" spans="1:5" x14ac:dyDescent="0.2">
      <c r="A9" s="27"/>
      <c r="B9" s="33"/>
      <c r="C9" s="34"/>
      <c r="D9" s="34"/>
      <c r="E9" s="30"/>
    </row>
    <row r="10" spans="1:5" ht="22.5" x14ac:dyDescent="0.2">
      <c r="A10" s="27"/>
      <c r="B10" s="35" t="s">
        <v>42</v>
      </c>
      <c r="C10" s="36" t="s">
        <v>43</v>
      </c>
      <c r="D10" s="36" t="s">
        <v>44</v>
      </c>
      <c r="E10" s="30"/>
    </row>
    <row r="11" spans="1:5" x14ac:dyDescent="0.2">
      <c r="A11" s="27"/>
      <c r="B11" s="33"/>
      <c r="C11" s="34"/>
      <c r="D11" s="34"/>
      <c r="E11" s="30"/>
    </row>
    <row r="12" spans="1:5" ht="22.5" x14ac:dyDescent="0.2">
      <c r="A12" s="27"/>
      <c r="B12" s="33" t="s">
        <v>45</v>
      </c>
      <c r="C12" s="34" t="s">
        <v>46</v>
      </c>
      <c r="D12" s="34" t="s">
        <v>41</v>
      </c>
      <c r="E12" s="30"/>
    </row>
    <row r="13" spans="1:5" x14ac:dyDescent="0.2">
      <c r="A13" s="27"/>
      <c r="B13" s="33"/>
      <c r="C13" s="34"/>
      <c r="D13" s="34"/>
      <c r="E13" s="30"/>
    </row>
    <row r="14" spans="1:5" ht="22.5" x14ac:dyDescent="0.2">
      <c r="A14" s="27"/>
      <c r="B14" s="33" t="s">
        <v>47</v>
      </c>
      <c r="C14" s="34" t="s">
        <v>48</v>
      </c>
      <c r="D14" s="34" t="s">
        <v>41</v>
      </c>
      <c r="E14" s="30"/>
    </row>
    <row r="15" spans="1:5" x14ac:dyDescent="0.2">
      <c r="A15" s="27"/>
      <c r="B15" s="33"/>
      <c r="C15" s="34"/>
      <c r="D15" s="34"/>
      <c r="E15" s="30"/>
    </row>
    <row r="16" spans="1:5" x14ac:dyDescent="0.2">
      <c r="A16" s="27"/>
      <c r="B16" s="33" t="s">
        <v>49</v>
      </c>
      <c r="C16" s="34" t="s">
        <v>50</v>
      </c>
      <c r="D16" s="34" t="s">
        <v>51</v>
      </c>
      <c r="E16" s="30"/>
    </row>
    <row r="17" spans="1:5" x14ac:dyDescent="0.2">
      <c r="A17" s="27"/>
      <c r="B17" s="33"/>
      <c r="C17" s="34"/>
      <c r="D17" s="34"/>
      <c r="E17" s="30"/>
    </row>
    <row r="18" spans="1:5" x14ac:dyDescent="0.2">
      <c r="A18" s="27"/>
      <c r="B18" s="33" t="s">
        <v>52</v>
      </c>
      <c r="C18" s="34" t="s">
        <v>53</v>
      </c>
      <c r="D18" s="34" t="s">
        <v>51</v>
      </c>
      <c r="E18" s="30"/>
    </row>
    <row r="19" spans="1:5" x14ac:dyDescent="0.2">
      <c r="A19" s="27"/>
      <c r="B19" s="33"/>
      <c r="C19" s="34"/>
      <c r="D19" s="34"/>
      <c r="E19" s="30"/>
    </row>
    <row r="20" spans="1:5" x14ac:dyDescent="0.2">
      <c r="A20" s="27"/>
      <c r="B20" s="33" t="s">
        <v>54</v>
      </c>
      <c r="C20" s="34" t="s">
        <v>55</v>
      </c>
      <c r="D20" s="34" t="s">
        <v>41</v>
      </c>
      <c r="E20" s="30"/>
    </row>
    <row r="21" spans="1:5" x14ac:dyDescent="0.2">
      <c r="A21" s="27"/>
      <c r="B21" s="33"/>
      <c r="C21" s="34"/>
      <c r="D21" s="34"/>
      <c r="E21" s="30"/>
    </row>
    <row r="22" spans="1:5" ht="22.5" x14ac:dyDescent="0.2">
      <c r="A22" s="27"/>
      <c r="B22" s="33" t="s">
        <v>56</v>
      </c>
      <c r="C22" s="34" t="s">
        <v>57</v>
      </c>
      <c r="D22" s="34" t="s">
        <v>58</v>
      </c>
      <c r="E22" s="30"/>
    </row>
    <row r="23" spans="1:5" x14ac:dyDescent="0.2">
      <c r="A23" s="27"/>
      <c r="B23" s="33"/>
      <c r="C23" s="34"/>
      <c r="D23" s="34"/>
      <c r="E23" s="30"/>
    </row>
    <row r="24" spans="1:5" ht="22.5" x14ac:dyDescent="0.2">
      <c r="A24" s="27"/>
      <c r="B24" s="35" t="s">
        <v>59</v>
      </c>
      <c r="C24" s="36" t="s">
        <v>60</v>
      </c>
      <c r="D24" s="36" t="s">
        <v>44</v>
      </c>
      <c r="E24" s="30"/>
    </row>
    <row r="25" spans="1:5" x14ac:dyDescent="0.2">
      <c r="A25" s="27"/>
      <c r="B25" s="28"/>
      <c r="C25" s="37"/>
      <c r="D25" s="37"/>
      <c r="E25" s="30"/>
    </row>
    <row r="26" spans="1:5" x14ac:dyDescent="0.2">
      <c r="A26" s="27"/>
      <c r="B26" s="38" t="s">
        <v>61</v>
      </c>
      <c r="C26" s="37"/>
      <c r="D26" s="37"/>
      <c r="E26" s="30"/>
    </row>
    <row r="27" spans="1:5" ht="29.1" customHeight="1" x14ac:dyDescent="0.2">
      <c r="A27" s="27"/>
      <c r="B27" s="28"/>
      <c r="C27" s="39" t="s">
        <v>62</v>
      </c>
      <c r="D27" s="28"/>
      <c r="E27" s="30"/>
    </row>
    <row r="28" spans="1:5" ht="15" customHeight="1" x14ac:dyDescent="0.2">
      <c r="A28" s="27"/>
      <c r="B28" s="28"/>
      <c r="C28" s="39" t="s">
        <v>63</v>
      </c>
      <c r="D28" s="28"/>
      <c r="E28" s="30"/>
    </row>
    <row r="29" spans="1:5" ht="18.600000000000001" customHeight="1" x14ac:dyDescent="0.2">
      <c r="A29" s="27"/>
      <c r="B29" s="28"/>
      <c r="C29" s="40" t="s">
        <v>64</v>
      </c>
      <c r="D29" s="28"/>
      <c r="E29" s="30"/>
    </row>
    <row r="30" spans="1:5" ht="18.600000000000001" customHeight="1" x14ac:dyDescent="0.2">
      <c r="A30" s="27"/>
      <c r="B30" s="28"/>
      <c r="C30" s="40" t="s">
        <v>65</v>
      </c>
      <c r="D30" s="28"/>
      <c r="E30" s="30"/>
    </row>
    <row r="31" spans="1:5" ht="33.75" x14ac:dyDescent="0.2">
      <c r="A31" s="27"/>
      <c r="B31" s="28"/>
      <c r="C31" s="40" t="s">
        <v>66</v>
      </c>
      <c r="D31" s="28"/>
      <c r="E31" s="30"/>
    </row>
    <row r="32" spans="1:5" ht="29.1" customHeight="1" x14ac:dyDescent="0.2">
      <c r="A32" s="27"/>
      <c r="B32" s="28"/>
      <c r="C32" s="357" t="s">
        <v>67</v>
      </c>
      <c r="D32" s="357"/>
      <c r="E32" s="30"/>
    </row>
    <row r="33" spans="1:5" ht="38.450000000000003" customHeight="1" x14ac:dyDescent="0.2">
      <c r="A33" s="41"/>
      <c r="B33" s="42"/>
      <c r="C33" s="358" t="s">
        <v>68</v>
      </c>
      <c r="D33" s="358"/>
      <c r="E33" s="43"/>
    </row>
  </sheetData>
  <mergeCells count="3">
    <mergeCell ref="B4:D4"/>
    <mergeCell ref="C32:D32"/>
    <mergeCell ref="C33:D33"/>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23 April 2020</vt:lpstr>
      <vt:lpstr>Details per Province</vt:lpstr>
      <vt:lpstr> DWS 18 04 2020</vt:lpstr>
      <vt:lpstr> DWS Summary</vt:lpstr>
      <vt:lpstr>Suppliers</vt:lpstr>
      <vt:lpstr>Bank</vt:lpstr>
      <vt:lpstr>Process</vt:lpstr>
      <vt:lpstr>' DWS 18 04 2020'!Print_Area</vt:lpstr>
      <vt:lpstr>' DWS Summary'!Print_Area</vt:lpstr>
      <vt:lpstr>'Details per Province'!Print_Area</vt:lpstr>
      <vt:lpstr>Process!Print_Area</vt:lpstr>
      <vt:lpstr>Suppliers!Print_Area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McCord Lucky Ncobela</dc:creator>
  <cp:lastModifiedBy>Nikiwe Ncetezo</cp:lastModifiedBy>
  <cp:lastPrinted>2020-05-24T12:24:50Z</cp:lastPrinted>
  <dcterms:created xsi:type="dcterms:W3CDTF">2015-03-31T08:37:23Z</dcterms:created>
  <dcterms:modified xsi:type="dcterms:W3CDTF">2020-07-27T17:43:32Z</dcterms:modified>
</cp:coreProperties>
</file>