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bohangt\Documents\COGTA MINISTRY 5TH TERM\2017\QUESTIONS\NA\"/>
    </mc:Choice>
  </mc:AlternateContent>
  <bookViews>
    <workbookView xWindow="0" yWindow="0" windowWidth="19200" windowHeight="11490"/>
  </bookViews>
  <sheets>
    <sheet name="Sheet1" sheetId="1" r:id="rId1"/>
  </sheets>
  <definedNames>
    <definedName name="_xlnm.Print_Area" localSheetId="0">Sheet1!$A$1:$M$46</definedName>
    <definedName name="_xlnm.Print_Titles" localSheetId="0">Sheet1!$1:$3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D44" i="1"/>
  <c r="E42" i="1"/>
  <c r="D42" i="1"/>
  <c r="D36" i="1"/>
  <c r="D29" i="1"/>
  <c r="E45" i="1" l="1"/>
  <c r="D45" i="1"/>
  <c r="M28" i="1"/>
  <c r="L28" i="1"/>
  <c r="M27" i="1"/>
  <c r="L27" i="1"/>
  <c r="M26" i="1"/>
  <c r="L25" i="1"/>
  <c r="L26" i="1"/>
  <c r="M25" i="1"/>
  <c r="M24" i="1"/>
  <c r="L24" i="1"/>
  <c r="M23" i="1"/>
  <c r="L23" i="1"/>
  <c r="M22" i="1"/>
  <c r="L22" i="1"/>
  <c r="L21" i="1"/>
  <c r="M21" i="1"/>
  <c r="M20" i="1"/>
  <c r="L20" i="1"/>
  <c r="L19" i="1"/>
  <c r="M19" i="1"/>
  <c r="M18" i="1"/>
  <c r="L18" i="1"/>
  <c r="L17" i="1"/>
  <c r="M17" i="1"/>
  <c r="M12" i="1"/>
  <c r="L12" i="1"/>
  <c r="L13" i="1"/>
  <c r="M13" i="1"/>
  <c r="L14" i="1"/>
  <c r="M14" i="1"/>
  <c r="L15" i="1"/>
  <c r="M15" i="1"/>
  <c r="L16" i="1"/>
  <c r="M16" i="1"/>
  <c r="M10" i="1"/>
  <c r="L10" i="1"/>
  <c r="L11" i="1"/>
  <c r="M11" i="1"/>
  <c r="L7" i="1"/>
  <c r="L6" i="1"/>
  <c r="L5" i="1"/>
  <c r="M9" i="1"/>
  <c r="L9" i="1"/>
  <c r="M8" i="1"/>
  <c r="L8" i="1"/>
  <c r="M7" i="1"/>
  <c r="M6" i="1"/>
  <c r="M5" i="1"/>
  <c r="I45" i="1" l="1"/>
  <c r="I46" i="1" s="1"/>
  <c r="H43" i="1"/>
  <c r="H44" i="1" s="1"/>
  <c r="H41" i="1"/>
  <c r="G40" i="1"/>
  <c r="H39" i="1"/>
  <c r="H42" i="1" s="1"/>
  <c r="G38" i="1"/>
  <c r="G37" i="1"/>
  <c r="H45" i="1" l="1"/>
  <c r="H46" i="1" s="1"/>
  <c r="G42" i="1"/>
  <c r="G45" i="1" s="1"/>
  <c r="G46" i="1" s="1"/>
</calcChain>
</file>

<file path=xl/sharedStrings.xml><?xml version="1.0" encoding="utf-8"?>
<sst xmlns="http://schemas.openxmlformats.org/spreadsheetml/2006/main" count="73" uniqueCount="31">
  <si>
    <t>Municipality</t>
  </si>
  <si>
    <r>
      <rPr>
        <b/>
        <sz val="11"/>
        <color theme="1"/>
        <rFont val="Calibri"/>
        <family val="2"/>
        <scheme val="minor"/>
      </rPr>
      <t>a)</t>
    </r>
    <r>
      <rPr>
        <sz val="11"/>
        <color theme="1"/>
        <rFont val="Calibri"/>
        <family val="2"/>
        <scheme val="minor"/>
      </rPr>
      <t xml:space="preserve"> How many boreholes</t>
    </r>
  </si>
  <si>
    <t>Latitude</t>
  </si>
  <si>
    <t>Longitude</t>
  </si>
  <si>
    <t>TOTAL</t>
  </si>
  <si>
    <t>Province</t>
  </si>
  <si>
    <t>Mpumalnaga</t>
  </si>
  <si>
    <t>Govan Mbeki</t>
  </si>
  <si>
    <t>Lekwa</t>
  </si>
  <si>
    <t>Northern Cape</t>
  </si>
  <si>
    <t>Ga-Segonyana</t>
  </si>
  <si>
    <t>Gamara</t>
  </si>
  <si>
    <t>i) CoGTA</t>
  </si>
  <si>
    <t>ii) Municipality</t>
  </si>
  <si>
    <t>aa) drilled  and/or installed bb) refurbished and/or cc) equipped</t>
  </si>
  <si>
    <t>The Department of Corperate Governance and Traditional Affairs did not directly undertake any borehole drilling, installing, refurbishing or equipping activitie during the period under review.</t>
  </si>
  <si>
    <t>bb) refurbished</t>
  </si>
  <si>
    <t>cc) 
equipped</t>
  </si>
  <si>
    <t>aa) 
Drilled and/or installed</t>
  </si>
  <si>
    <r>
      <rPr>
        <b/>
        <sz val="11"/>
        <color theme="1"/>
        <rFont val="Calibri"/>
        <family val="2"/>
        <scheme val="minor"/>
      </rPr>
      <t>d)</t>
    </r>
    <r>
      <rPr>
        <sz val="11"/>
        <color theme="1"/>
        <rFont val="Calibri"/>
        <family val="2"/>
        <scheme val="minor"/>
      </rPr>
      <t xml:space="preserve"> Companies to which Contract was awarded</t>
    </r>
  </si>
  <si>
    <r>
      <rPr>
        <b/>
        <sz val="11"/>
        <color theme="1"/>
        <rFont val="Calibri"/>
        <family val="2"/>
        <scheme val="minor"/>
      </rPr>
      <t>e)</t>
    </r>
    <r>
      <rPr>
        <sz val="11"/>
        <color theme="1"/>
        <rFont val="Calibri"/>
        <family val="2"/>
        <scheme val="minor"/>
      </rPr>
      <t xml:space="preserve"> Location</t>
    </r>
  </si>
  <si>
    <r>
      <rPr>
        <b/>
        <sz val="11"/>
        <color theme="1"/>
        <rFont val="Calibri"/>
        <family val="2"/>
        <scheme val="minor"/>
      </rPr>
      <t>b)</t>
    </r>
    <r>
      <rPr>
        <sz val="11"/>
        <color theme="1"/>
        <rFont val="Calibri"/>
        <family val="2"/>
        <scheme val="minor"/>
      </rPr>
      <t xml:space="preserve"> Cost</t>
    </r>
  </si>
  <si>
    <r>
      <rPr>
        <b/>
        <sz val="11"/>
        <color theme="1"/>
        <rFont val="Calibri"/>
        <family val="2"/>
        <scheme val="minor"/>
      </rPr>
      <t>c)</t>
    </r>
    <r>
      <rPr>
        <sz val="11"/>
        <color theme="1"/>
        <rFont val="Calibri"/>
        <family val="2"/>
        <scheme val="minor"/>
      </rPr>
      <t xml:space="preserve"> Funding Source</t>
    </r>
  </si>
  <si>
    <t>MIG</t>
  </si>
  <si>
    <t>Average cost per boreholes</t>
  </si>
  <si>
    <t>MWIG</t>
  </si>
  <si>
    <t>Kimopax/Gobora Drilling AB Pumps Contractors</t>
  </si>
  <si>
    <t>Mona Wa Godima</t>
  </si>
  <si>
    <t>Sandmix Construction and Development</t>
  </si>
  <si>
    <t>Maseko Building Construction</t>
  </si>
  <si>
    <t xml:space="preserve">Asdu Trading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</si>
</sst>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00000"/>
    <numFmt numFmtId="165" formatCode="&quot;R&quot;\ #,##0.00"/>
    <numFmt numFmtId="166" formatCode="_ [$R-1C09]\ * #,##0.00_ ;_ [$R-1C09]\ * \-#,##0.00_ ;_ [$R-1C09]\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0" fillId="2" borderId="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3" fillId="0" borderId="11" xfId="0" applyFont="1" applyFill="1" applyBorder="1"/>
    <xf numFmtId="164" fontId="3" fillId="0" borderId="10" xfId="0" applyNumberFormat="1" applyFont="1" applyFill="1" applyBorder="1"/>
    <xf numFmtId="0" fontId="3" fillId="0" borderId="14" xfId="0" applyFont="1" applyFill="1" applyBorder="1"/>
    <xf numFmtId="164" fontId="3" fillId="0" borderId="13" xfId="0" applyNumberFormat="1" applyFont="1" applyFill="1" applyBorder="1"/>
    <xf numFmtId="164" fontId="3" fillId="0" borderId="16" xfId="0" applyNumberFormat="1" applyFont="1" applyFill="1" applyBorder="1"/>
    <xf numFmtId="0" fontId="3" fillId="0" borderId="18" xfId="0" applyFont="1" applyFill="1" applyBorder="1"/>
    <xf numFmtId="164" fontId="3" fillId="0" borderId="8" xfId="0" applyNumberFormat="1" applyFont="1" applyFill="1" applyBorder="1"/>
    <xf numFmtId="165" fontId="0" fillId="0" borderId="20" xfId="0" applyNumberFormat="1" applyBorder="1"/>
    <xf numFmtId="0" fontId="0" fillId="0" borderId="0" xfId="0" applyAlignment="1">
      <alignment horizontal="center"/>
    </xf>
    <xf numFmtId="166" fontId="0" fillId="0" borderId="20" xfId="1" applyNumberFormat="1" applyFont="1" applyBorder="1"/>
    <xf numFmtId="164" fontId="4" fillId="0" borderId="0" xfId="0" applyNumberFormat="1" applyFont="1" applyFill="1" applyBorder="1" applyAlignment="1">
      <alignment wrapText="1"/>
    </xf>
    <xf numFmtId="164" fontId="3" fillId="0" borderId="22" xfId="0" applyNumberFormat="1" applyFont="1" applyFill="1" applyBorder="1"/>
    <xf numFmtId="164" fontId="3" fillId="0" borderId="23" xfId="0" applyNumberFormat="1" applyFont="1" applyFill="1" applyBorder="1"/>
    <xf numFmtId="164" fontId="3" fillId="0" borderId="34" xfId="0" applyNumberFormat="1" applyFont="1" applyFill="1" applyBorder="1"/>
    <xf numFmtId="0" fontId="0" fillId="0" borderId="5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37" xfId="0" applyFont="1" applyFill="1" applyBorder="1"/>
    <xf numFmtId="0" fontId="3" fillId="0" borderId="16" xfId="0" applyFont="1" applyFill="1" applyBorder="1"/>
    <xf numFmtId="0" fontId="0" fillId="2" borderId="13" xfId="0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3" fillId="0" borderId="42" xfId="0" applyNumberFormat="1" applyFont="1" applyFill="1" applyBorder="1"/>
    <xf numFmtId="0" fontId="0" fillId="0" borderId="49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5" fontId="0" fillId="0" borderId="46" xfId="0" applyNumberFormat="1" applyFill="1" applyBorder="1"/>
    <xf numFmtId="165" fontId="0" fillId="0" borderId="11" xfId="0" applyNumberFormat="1" applyFill="1" applyBorder="1"/>
    <xf numFmtId="165" fontId="0" fillId="0" borderId="40" xfId="0" applyNumberFormat="1" applyFill="1" applyBorder="1"/>
    <xf numFmtId="165" fontId="0" fillId="0" borderId="42" xfId="0" applyNumberFormat="1" applyFill="1" applyBorder="1" applyAlignment="1">
      <alignment horizontal="center"/>
    </xf>
    <xf numFmtId="0" fontId="0" fillId="0" borderId="42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44" fontId="0" fillId="0" borderId="41" xfId="2" applyFont="1" applyFill="1" applyBorder="1" applyAlignment="1">
      <alignment horizontal="center"/>
    </xf>
    <xf numFmtId="44" fontId="0" fillId="0" borderId="14" xfId="2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4" fillId="0" borderId="8" xfId="0" applyFont="1" applyFill="1" applyBorder="1"/>
    <xf numFmtId="0" fontId="2" fillId="0" borderId="1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44" fontId="2" fillId="0" borderId="18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4" fontId="2" fillId="0" borderId="41" xfId="2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4" fillId="0" borderId="16" xfId="0" applyFont="1" applyFill="1" applyBorder="1"/>
    <xf numFmtId="0" fontId="2" fillId="0" borderId="16" xfId="0" applyFont="1" applyFill="1" applyBorder="1" applyAlignment="1">
      <alignment horizontal="center"/>
    </xf>
    <xf numFmtId="165" fontId="2" fillId="0" borderId="46" xfId="0" applyNumberFormat="1" applyFont="1" applyFill="1" applyBorder="1"/>
    <xf numFmtId="165" fontId="2" fillId="0" borderId="11" xfId="0" applyNumberFormat="1" applyFont="1" applyFill="1" applyBorder="1"/>
    <xf numFmtId="165" fontId="2" fillId="0" borderId="40" xfId="0" applyNumberFormat="1" applyFont="1" applyFill="1" applyBorder="1"/>
    <xf numFmtId="165" fontId="2" fillId="0" borderId="14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vertical="center" wrapText="1"/>
    </xf>
    <xf numFmtId="164" fontId="3" fillId="0" borderId="52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164" fontId="3" fillId="0" borderId="40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4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0" borderId="50" xfId="0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0" fontId="0" fillId="0" borderId="42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view="pageBreakPreview" topLeftCell="A13" zoomScaleNormal="100" zoomScaleSheetLayoutView="100" workbookViewId="0">
      <selection activeCell="B4" sqref="B4"/>
    </sheetView>
  </sheetViews>
  <sheetFormatPr defaultRowHeight="15" x14ac:dyDescent="0.25"/>
  <cols>
    <col min="1" max="1" width="14.7109375" bestFit="1" customWidth="1"/>
    <col min="2" max="3" width="14.7109375" customWidth="1"/>
    <col min="4" max="5" width="13.5703125" style="11" customWidth="1"/>
    <col min="6" max="9" width="13.7109375" style="11" customWidth="1"/>
    <col min="10" max="10" width="16.7109375" style="11" bestFit="1" customWidth="1"/>
    <col min="11" max="11" width="19.42578125" style="11" customWidth="1"/>
    <col min="12" max="12" width="15.42578125" bestFit="1" customWidth="1"/>
    <col min="13" max="13" width="14.28515625" bestFit="1" customWidth="1"/>
  </cols>
  <sheetData>
    <row r="1" spans="1:13" ht="15" customHeight="1" x14ac:dyDescent="0.25">
      <c r="A1" s="66" t="s">
        <v>5</v>
      </c>
      <c r="B1" s="69" t="s">
        <v>0</v>
      </c>
      <c r="C1" s="74" t="s">
        <v>1</v>
      </c>
      <c r="D1" s="75"/>
      <c r="E1" s="73"/>
      <c r="F1" s="76"/>
      <c r="G1" s="90" t="s">
        <v>21</v>
      </c>
      <c r="H1" s="91"/>
      <c r="I1" s="92"/>
      <c r="J1" s="87" t="s">
        <v>22</v>
      </c>
      <c r="K1" s="84" t="s">
        <v>19</v>
      </c>
      <c r="L1" s="72" t="s">
        <v>20</v>
      </c>
      <c r="M1" s="73"/>
    </row>
    <row r="2" spans="1:13" x14ac:dyDescent="0.25">
      <c r="A2" s="67"/>
      <c r="B2" s="70"/>
      <c r="C2" s="21" t="s">
        <v>12</v>
      </c>
      <c r="D2" s="81" t="s">
        <v>13</v>
      </c>
      <c r="E2" s="82"/>
      <c r="F2" s="83"/>
      <c r="G2" s="93"/>
      <c r="H2" s="94"/>
      <c r="I2" s="95"/>
      <c r="J2" s="88"/>
      <c r="K2" s="85"/>
      <c r="L2" s="77" t="s">
        <v>2</v>
      </c>
      <c r="M2" s="79" t="s">
        <v>3</v>
      </c>
    </row>
    <row r="3" spans="1:13" ht="90.75" thickBot="1" x14ac:dyDescent="0.3">
      <c r="A3" s="68"/>
      <c r="B3" s="71"/>
      <c r="C3" s="2" t="s">
        <v>14</v>
      </c>
      <c r="D3" s="22" t="s">
        <v>18</v>
      </c>
      <c r="E3" s="23" t="s">
        <v>16</v>
      </c>
      <c r="F3" s="1" t="s">
        <v>17</v>
      </c>
      <c r="G3" s="22" t="s">
        <v>18</v>
      </c>
      <c r="H3" s="23" t="s">
        <v>16</v>
      </c>
      <c r="I3" s="1" t="s">
        <v>17</v>
      </c>
      <c r="J3" s="89"/>
      <c r="K3" s="86"/>
      <c r="L3" s="78"/>
      <c r="M3" s="80"/>
    </row>
    <row r="4" spans="1:13" ht="15" customHeight="1" x14ac:dyDescent="0.25">
      <c r="A4" s="3"/>
      <c r="B4" s="19"/>
      <c r="C4" s="99" t="s">
        <v>15</v>
      </c>
      <c r="D4" s="36"/>
      <c r="E4" s="37"/>
      <c r="F4" s="38"/>
      <c r="G4" s="39"/>
      <c r="H4" s="40"/>
      <c r="I4" s="39"/>
      <c r="J4" s="41"/>
      <c r="K4" s="25"/>
      <c r="L4" s="14"/>
      <c r="M4" s="4"/>
    </row>
    <row r="5" spans="1:13" x14ac:dyDescent="0.25">
      <c r="A5" s="5" t="s">
        <v>6</v>
      </c>
      <c r="B5" s="20" t="s">
        <v>7</v>
      </c>
      <c r="C5" s="100"/>
      <c r="D5" s="27">
        <v>1</v>
      </c>
      <c r="E5" s="28"/>
      <c r="F5" s="29"/>
      <c r="G5" s="30"/>
      <c r="H5" s="31"/>
      <c r="I5" s="32"/>
      <c r="J5" s="33" t="s">
        <v>23</v>
      </c>
      <c r="K5" s="96" t="s">
        <v>28</v>
      </c>
      <c r="L5" s="15">
        <f>-26-(38/60+35/3600)</f>
        <v>-26.643055555555556</v>
      </c>
      <c r="M5" s="6">
        <f>29+26/60+35/3600</f>
        <v>29.443055555555556</v>
      </c>
    </row>
    <row r="6" spans="1:13" x14ac:dyDescent="0.25">
      <c r="A6" s="5"/>
      <c r="B6" s="20"/>
      <c r="C6" s="100"/>
      <c r="D6" s="27">
        <v>1</v>
      </c>
      <c r="E6" s="28"/>
      <c r="F6" s="29"/>
      <c r="G6" s="30"/>
      <c r="H6" s="31"/>
      <c r="I6" s="32"/>
      <c r="J6" s="33" t="s">
        <v>23</v>
      </c>
      <c r="K6" s="97"/>
      <c r="L6" s="15">
        <f>-26-(36/60+46/3600)</f>
        <v>-26.612777777777779</v>
      </c>
      <c r="M6" s="6">
        <f>29+26/60+16/3600</f>
        <v>29.437777777777779</v>
      </c>
    </row>
    <row r="7" spans="1:13" x14ac:dyDescent="0.25">
      <c r="A7" s="5"/>
      <c r="B7" s="20"/>
      <c r="C7" s="100"/>
      <c r="D7" s="27">
        <v>1</v>
      </c>
      <c r="E7" s="28"/>
      <c r="F7" s="29"/>
      <c r="G7" s="30"/>
      <c r="H7" s="31"/>
      <c r="I7" s="32"/>
      <c r="J7" s="33" t="s">
        <v>23</v>
      </c>
      <c r="K7" s="97"/>
      <c r="L7" s="15">
        <f>-26-(34/60+25/3600)</f>
        <v>-26.573611111111113</v>
      </c>
      <c r="M7" s="6">
        <f>29+26/60+36/3600</f>
        <v>29.443333333333335</v>
      </c>
    </row>
    <row r="8" spans="1:13" x14ac:dyDescent="0.25">
      <c r="A8" s="5"/>
      <c r="B8" s="20"/>
      <c r="C8" s="100"/>
      <c r="D8" s="27">
        <v>1</v>
      </c>
      <c r="E8" s="28"/>
      <c r="F8" s="29"/>
      <c r="G8" s="30"/>
      <c r="H8" s="31"/>
      <c r="I8" s="32"/>
      <c r="J8" s="33" t="s">
        <v>23</v>
      </c>
      <c r="K8" s="97"/>
      <c r="L8" s="15">
        <f>-26-(24/60+44/3600)</f>
        <v>-26.412222222222223</v>
      </c>
      <c r="M8" s="6">
        <f>29+29/60+56/3600</f>
        <v>29.498888888888889</v>
      </c>
    </row>
    <row r="9" spans="1:13" x14ac:dyDescent="0.25">
      <c r="A9" s="5"/>
      <c r="B9" s="20"/>
      <c r="C9" s="100"/>
      <c r="D9" s="27">
        <v>1</v>
      </c>
      <c r="E9" s="28"/>
      <c r="F9" s="29"/>
      <c r="G9" s="30"/>
      <c r="H9" s="31"/>
      <c r="I9" s="32"/>
      <c r="J9" s="33" t="s">
        <v>23</v>
      </c>
      <c r="K9" s="97"/>
      <c r="L9" s="15">
        <f>-26-(25/60+18/3600)</f>
        <v>-26.421666666666667</v>
      </c>
      <c r="M9" s="6">
        <f>29+29/60+37/3600</f>
        <v>29.493611111111111</v>
      </c>
    </row>
    <row r="10" spans="1:13" x14ac:dyDescent="0.25">
      <c r="A10" s="5"/>
      <c r="B10" s="20"/>
      <c r="C10" s="100"/>
      <c r="D10" s="27">
        <v>1</v>
      </c>
      <c r="E10" s="28"/>
      <c r="F10" s="29"/>
      <c r="G10" s="30"/>
      <c r="H10" s="31"/>
      <c r="I10" s="32"/>
      <c r="J10" s="33" t="s">
        <v>23</v>
      </c>
      <c r="K10" s="97"/>
      <c r="L10" s="15">
        <f>-26-(22/60+23/3600)</f>
        <v>-26.373055555555556</v>
      </c>
      <c r="M10" s="6">
        <f>29+31/60+21/3600</f>
        <v>29.522499999999997</v>
      </c>
    </row>
    <row r="11" spans="1:13" x14ac:dyDescent="0.25">
      <c r="A11" s="5"/>
      <c r="B11" s="20"/>
      <c r="C11" s="100"/>
      <c r="D11" s="27">
        <v>1</v>
      </c>
      <c r="E11" s="28"/>
      <c r="F11" s="29"/>
      <c r="G11" s="30"/>
      <c r="H11" s="31"/>
      <c r="I11" s="32"/>
      <c r="J11" s="33" t="s">
        <v>23</v>
      </c>
      <c r="K11" s="97"/>
      <c r="L11" s="15">
        <f>-26-(17/60+28/3600)</f>
        <v>-26.29111111111111</v>
      </c>
      <c r="M11" s="6">
        <f>29+29/60+52/3600</f>
        <v>29.497777777777777</v>
      </c>
    </row>
    <row r="12" spans="1:13" x14ac:dyDescent="0.25">
      <c r="A12" s="5"/>
      <c r="B12" s="20"/>
      <c r="C12" s="100"/>
      <c r="D12" s="27">
        <v>1</v>
      </c>
      <c r="E12" s="28"/>
      <c r="F12" s="29"/>
      <c r="G12" s="30"/>
      <c r="H12" s="31"/>
      <c r="I12" s="32"/>
      <c r="J12" s="33" t="s">
        <v>23</v>
      </c>
      <c r="K12" s="97"/>
      <c r="L12" s="15">
        <f>-26-(14/60+56/3600)</f>
        <v>-26.248888888888889</v>
      </c>
      <c r="M12" s="6">
        <f>29+27/60+26/3600</f>
        <v>29.457222222222221</v>
      </c>
    </row>
    <row r="13" spans="1:13" x14ac:dyDescent="0.25">
      <c r="A13" s="5"/>
      <c r="B13" s="20"/>
      <c r="C13" s="100"/>
      <c r="D13" s="27">
        <v>1</v>
      </c>
      <c r="E13" s="28"/>
      <c r="F13" s="29"/>
      <c r="G13" s="30"/>
      <c r="H13" s="31"/>
      <c r="I13" s="32"/>
      <c r="J13" s="33" t="s">
        <v>23</v>
      </c>
      <c r="K13" s="97"/>
      <c r="L13" s="15">
        <f>-26-(27/60+15/3600)</f>
        <v>-26.454166666666666</v>
      </c>
      <c r="M13" s="6">
        <f>29+34/60+29/3600</f>
        <v>29.574722222222221</v>
      </c>
    </row>
    <row r="14" spans="1:13" x14ac:dyDescent="0.25">
      <c r="A14" s="5"/>
      <c r="B14" s="20"/>
      <c r="C14" s="100"/>
      <c r="D14" s="27">
        <v>1</v>
      </c>
      <c r="E14" s="28"/>
      <c r="F14" s="29"/>
      <c r="G14" s="30"/>
      <c r="H14" s="31"/>
      <c r="I14" s="32"/>
      <c r="J14" s="33" t="s">
        <v>23</v>
      </c>
      <c r="K14" s="97"/>
      <c r="L14" s="15">
        <f>-26-(15/60+56/3600)</f>
        <v>-26.265555555555554</v>
      </c>
      <c r="M14" s="6">
        <f>29+23/60+52/3600</f>
        <v>29.397777777777776</v>
      </c>
    </row>
    <row r="15" spans="1:13" x14ac:dyDescent="0.25">
      <c r="A15" s="5"/>
      <c r="B15" s="20"/>
      <c r="C15" s="100"/>
      <c r="D15" s="27">
        <v>1</v>
      </c>
      <c r="E15" s="28"/>
      <c r="F15" s="29"/>
      <c r="G15" s="30"/>
      <c r="H15" s="31"/>
      <c r="I15" s="32"/>
      <c r="J15" s="33" t="s">
        <v>23</v>
      </c>
      <c r="K15" s="97"/>
      <c r="L15" s="15">
        <f>-26-(27/60+15/3600)</f>
        <v>-26.454166666666666</v>
      </c>
      <c r="M15" s="6">
        <f>29+34/60+29/3600</f>
        <v>29.574722222222221</v>
      </c>
    </row>
    <row r="16" spans="1:13" x14ac:dyDescent="0.25">
      <c r="A16" s="5"/>
      <c r="B16" s="20"/>
      <c r="C16" s="100"/>
      <c r="D16" s="27">
        <v>1</v>
      </c>
      <c r="E16" s="28"/>
      <c r="F16" s="29"/>
      <c r="G16" s="30"/>
      <c r="H16" s="31"/>
      <c r="I16" s="32"/>
      <c r="J16" s="33" t="s">
        <v>23</v>
      </c>
      <c r="K16" s="98"/>
      <c r="L16" s="15">
        <f>-26-(17/60+20/3600)</f>
        <v>-26.288888888888888</v>
      </c>
      <c r="M16" s="6">
        <f>29+23/60+41/3600</f>
        <v>29.394722222222221</v>
      </c>
    </row>
    <row r="17" spans="1:14" x14ac:dyDescent="0.25">
      <c r="A17" s="5"/>
      <c r="B17" s="20"/>
      <c r="C17" s="100"/>
      <c r="D17" s="27">
        <v>1</v>
      </c>
      <c r="E17" s="28"/>
      <c r="F17" s="29"/>
      <c r="G17" s="30"/>
      <c r="H17" s="31"/>
      <c r="I17" s="32"/>
      <c r="J17" s="33" t="s">
        <v>23</v>
      </c>
      <c r="K17" s="96" t="s">
        <v>29</v>
      </c>
      <c r="L17" s="15">
        <f>-26-(14.239/60)</f>
        <v>-26.237316666666668</v>
      </c>
      <c r="M17" s="6">
        <f>29+54.703/60</f>
        <v>29.911716666666667</v>
      </c>
    </row>
    <row r="18" spans="1:14" x14ac:dyDescent="0.25">
      <c r="A18" s="5"/>
      <c r="B18" s="20"/>
      <c r="C18" s="100"/>
      <c r="D18" s="27">
        <v>1</v>
      </c>
      <c r="E18" s="28"/>
      <c r="F18" s="29"/>
      <c r="G18" s="30"/>
      <c r="H18" s="31"/>
      <c r="I18" s="32"/>
      <c r="J18" s="33" t="s">
        <v>23</v>
      </c>
      <c r="K18" s="97"/>
      <c r="L18" s="15">
        <f>-26-(19.788/60)</f>
        <v>-26.329799999999999</v>
      </c>
      <c r="M18" s="6">
        <f>29+5.22/60</f>
        <v>29.087</v>
      </c>
    </row>
    <row r="19" spans="1:14" x14ac:dyDescent="0.25">
      <c r="A19" s="5"/>
      <c r="B19" s="20"/>
      <c r="C19" s="100"/>
      <c r="D19" s="27">
        <v>1</v>
      </c>
      <c r="E19" s="28"/>
      <c r="F19" s="29"/>
      <c r="G19" s="30"/>
      <c r="H19" s="31"/>
      <c r="I19" s="32"/>
      <c r="J19" s="33" t="s">
        <v>23</v>
      </c>
      <c r="K19" s="97"/>
      <c r="L19" s="15">
        <f>-26-(19.788/60)</f>
        <v>-26.329799999999999</v>
      </c>
      <c r="M19" s="6">
        <f>29+5.022/60</f>
        <v>29.0837</v>
      </c>
    </row>
    <row r="20" spans="1:14" x14ac:dyDescent="0.25">
      <c r="A20" s="5"/>
      <c r="B20" s="20"/>
      <c r="C20" s="100"/>
      <c r="D20" s="27">
        <v>1</v>
      </c>
      <c r="E20" s="28"/>
      <c r="F20" s="29"/>
      <c r="G20" s="30"/>
      <c r="H20" s="31"/>
      <c r="I20" s="32"/>
      <c r="J20" s="33" t="s">
        <v>23</v>
      </c>
      <c r="K20" s="97"/>
      <c r="L20" s="15">
        <f>-26-(39.524/60)</f>
        <v>-26.658733333333334</v>
      </c>
      <c r="M20" s="6">
        <f>29+2.788/60</f>
        <v>29.046466666666667</v>
      </c>
    </row>
    <row r="21" spans="1:14" x14ac:dyDescent="0.25">
      <c r="A21" s="5"/>
      <c r="B21" s="20"/>
      <c r="C21" s="100"/>
      <c r="D21" s="27">
        <v>1</v>
      </c>
      <c r="E21" s="28"/>
      <c r="F21" s="29"/>
      <c r="G21" s="30"/>
      <c r="H21" s="31"/>
      <c r="I21" s="32"/>
      <c r="J21" s="33" t="s">
        <v>23</v>
      </c>
      <c r="K21" s="97"/>
      <c r="L21" s="15">
        <f>-26-(40.133/60)</f>
        <v>-26.668883333333333</v>
      </c>
      <c r="M21" s="6">
        <f>29+0.519/60</f>
        <v>29.008649999999999</v>
      </c>
    </row>
    <row r="22" spans="1:14" x14ac:dyDescent="0.25">
      <c r="A22" s="5"/>
      <c r="B22" s="20"/>
      <c r="C22" s="100"/>
      <c r="D22" s="27">
        <v>1</v>
      </c>
      <c r="E22" s="28"/>
      <c r="F22" s="29"/>
      <c r="G22" s="30"/>
      <c r="H22" s="31"/>
      <c r="I22" s="32"/>
      <c r="J22" s="33" t="s">
        <v>23</v>
      </c>
      <c r="K22" s="97"/>
      <c r="L22" s="15">
        <f>-26-(40.478/60)</f>
        <v>-26.674633333333333</v>
      </c>
      <c r="M22" s="6">
        <f>29+50.916/60</f>
        <v>29.848600000000001</v>
      </c>
    </row>
    <row r="23" spans="1:14" x14ac:dyDescent="0.25">
      <c r="A23" s="5"/>
      <c r="B23" s="20"/>
      <c r="C23" s="100"/>
      <c r="D23" s="27">
        <v>1</v>
      </c>
      <c r="E23" s="28"/>
      <c r="F23" s="29"/>
      <c r="G23" s="30"/>
      <c r="H23" s="31"/>
      <c r="I23" s="32"/>
      <c r="J23" s="33" t="s">
        <v>23</v>
      </c>
      <c r="K23" s="97"/>
      <c r="L23" s="15">
        <f>-26-(18.487/60)</f>
        <v>-26.308116666666667</v>
      </c>
      <c r="M23" s="6">
        <f>29+7.26/60</f>
        <v>29.120999999999999</v>
      </c>
    </row>
    <row r="24" spans="1:14" x14ac:dyDescent="0.25">
      <c r="A24" s="5"/>
      <c r="B24" s="20"/>
      <c r="C24" s="100"/>
      <c r="D24" s="27">
        <v>1</v>
      </c>
      <c r="E24" s="28"/>
      <c r="F24" s="29"/>
      <c r="G24" s="30"/>
      <c r="H24" s="31"/>
      <c r="I24" s="32"/>
      <c r="J24" s="33" t="s">
        <v>23</v>
      </c>
      <c r="K24" s="97"/>
      <c r="L24" s="15">
        <f>-26-(18.409/60)</f>
        <v>-26.306816666666666</v>
      </c>
      <c r="M24" s="6">
        <f>29+51.813/60</f>
        <v>29.86355</v>
      </c>
    </row>
    <row r="25" spans="1:14" x14ac:dyDescent="0.25">
      <c r="A25" s="5"/>
      <c r="B25" s="20"/>
      <c r="C25" s="100"/>
      <c r="D25" s="27">
        <v>1</v>
      </c>
      <c r="E25" s="28"/>
      <c r="F25" s="29"/>
      <c r="G25" s="30"/>
      <c r="H25" s="31"/>
      <c r="I25" s="32"/>
      <c r="J25" s="33" t="s">
        <v>23</v>
      </c>
      <c r="K25" s="97"/>
      <c r="L25" s="15">
        <f>-26-(19.152/60)</f>
        <v>-26.319199999999999</v>
      </c>
      <c r="M25" s="6">
        <f>29+50.916/60</f>
        <v>29.848600000000001</v>
      </c>
    </row>
    <row r="26" spans="1:14" x14ac:dyDescent="0.25">
      <c r="A26" s="5"/>
      <c r="B26" s="20"/>
      <c r="C26" s="100"/>
      <c r="D26" s="27">
        <v>1</v>
      </c>
      <c r="E26" s="28"/>
      <c r="F26" s="29"/>
      <c r="G26" s="30"/>
      <c r="H26" s="31"/>
      <c r="I26" s="32"/>
      <c r="J26" s="33" t="s">
        <v>23</v>
      </c>
      <c r="K26" s="97"/>
      <c r="L26" s="15">
        <f>-26-(20.826/60)</f>
        <v>-26.347100000000001</v>
      </c>
      <c r="M26" s="6">
        <f>29+51.756/60</f>
        <v>29.8626</v>
      </c>
    </row>
    <row r="27" spans="1:14" x14ac:dyDescent="0.25">
      <c r="A27" s="5"/>
      <c r="B27" s="20"/>
      <c r="C27" s="100"/>
      <c r="D27" s="27">
        <v>1</v>
      </c>
      <c r="E27" s="28"/>
      <c r="F27" s="29"/>
      <c r="G27" s="30"/>
      <c r="H27" s="31"/>
      <c r="I27" s="32"/>
      <c r="J27" s="33" t="s">
        <v>23</v>
      </c>
      <c r="K27" s="97"/>
      <c r="L27" s="15">
        <f>-26-(38.218/60)</f>
        <v>-26.636966666666666</v>
      </c>
      <c r="M27" s="6">
        <f>29+1.185/60</f>
        <v>29.019749999999998</v>
      </c>
    </row>
    <row r="28" spans="1:14" x14ac:dyDescent="0.25">
      <c r="A28" s="5"/>
      <c r="B28" s="20"/>
      <c r="C28" s="100"/>
      <c r="D28" s="27">
        <v>1</v>
      </c>
      <c r="E28" s="28"/>
      <c r="F28" s="29"/>
      <c r="G28" s="30"/>
      <c r="H28" s="31"/>
      <c r="I28" s="32"/>
      <c r="J28" s="33" t="s">
        <v>23</v>
      </c>
      <c r="K28" s="98"/>
      <c r="L28" s="15">
        <f>-26-(18.998/60)</f>
        <v>-26.316633333333332</v>
      </c>
      <c r="M28" s="6">
        <f>29+56.31/60</f>
        <v>29.938500000000001</v>
      </c>
    </row>
    <row r="29" spans="1:14" x14ac:dyDescent="0.25">
      <c r="A29" s="5"/>
      <c r="B29" s="20" t="s">
        <v>4</v>
      </c>
      <c r="C29" s="100"/>
      <c r="D29" s="52">
        <f>SUM(D5:D28)</f>
        <v>24</v>
      </c>
      <c r="E29" s="57"/>
      <c r="F29" s="53"/>
      <c r="G29" s="58">
        <v>4806049.26</v>
      </c>
      <c r="H29" s="59"/>
      <c r="I29" s="60"/>
      <c r="J29" s="33" t="s">
        <v>23</v>
      </c>
      <c r="K29" s="35"/>
      <c r="L29" s="15"/>
      <c r="M29" s="6"/>
    </row>
    <row r="30" spans="1:14" x14ac:dyDescent="0.25">
      <c r="A30" s="5"/>
      <c r="B30" s="20" t="s">
        <v>8</v>
      </c>
      <c r="C30" s="100"/>
      <c r="D30" s="27">
        <v>1</v>
      </c>
      <c r="E30" s="28"/>
      <c r="F30" s="29"/>
      <c r="G30" s="30"/>
      <c r="H30" s="31"/>
      <c r="I30" s="32"/>
      <c r="J30" s="33" t="s">
        <v>23</v>
      </c>
      <c r="K30" s="102" t="s">
        <v>30</v>
      </c>
      <c r="L30" s="62">
        <v>-27.167033</v>
      </c>
      <c r="M30" s="63">
        <v>29.247108000000001</v>
      </c>
      <c r="N30" s="107"/>
    </row>
    <row r="31" spans="1:14" x14ac:dyDescent="0.25">
      <c r="A31" s="5"/>
      <c r="B31" s="20"/>
      <c r="C31" s="100"/>
      <c r="D31" s="27">
        <v>1</v>
      </c>
      <c r="E31" s="28"/>
      <c r="F31" s="29"/>
      <c r="G31" s="32"/>
      <c r="H31" s="31"/>
      <c r="I31" s="32"/>
      <c r="J31" s="33" t="s">
        <v>23</v>
      </c>
      <c r="K31" s="103"/>
      <c r="L31" s="62">
        <v>-27.230708</v>
      </c>
      <c r="M31" s="64">
        <v>29.440923000000002</v>
      </c>
      <c r="N31" s="107"/>
    </row>
    <row r="32" spans="1:14" x14ac:dyDescent="0.25">
      <c r="A32" s="5"/>
      <c r="B32" s="20"/>
      <c r="C32" s="100"/>
      <c r="D32" s="27">
        <v>1</v>
      </c>
      <c r="E32" s="28"/>
      <c r="F32" s="29"/>
      <c r="G32" s="32"/>
      <c r="H32" s="31"/>
      <c r="I32" s="32"/>
      <c r="J32" s="33" t="s">
        <v>23</v>
      </c>
      <c r="K32" s="103"/>
      <c r="L32" s="62">
        <v>-27.161382</v>
      </c>
      <c r="M32" s="65">
        <v>29.245155</v>
      </c>
      <c r="N32" s="107"/>
    </row>
    <row r="33" spans="1:14" x14ac:dyDescent="0.25">
      <c r="A33" s="5"/>
      <c r="B33" s="20"/>
      <c r="C33" s="100"/>
      <c r="D33" s="27">
        <v>1</v>
      </c>
      <c r="E33" s="28"/>
      <c r="F33" s="29"/>
      <c r="G33" s="32"/>
      <c r="H33" s="31"/>
      <c r="I33" s="32"/>
      <c r="J33" s="33" t="s">
        <v>23</v>
      </c>
      <c r="K33" s="104"/>
      <c r="L33" s="62">
        <v>-26.779412000000001</v>
      </c>
      <c r="M33" s="63">
        <v>29.341988000000001</v>
      </c>
      <c r="N33" s="106"/>
    </row>
    <row r="34" spans="1:14" x14ac:dyDescent="0.25">
      <c r="A34" s="5"/>
      <c r="B34" s="20"/>
      <c r="C34" s="100"/>
      <c r="D34" s="27">
        <v>1</v>
      </c>
      <c r="E34" s="28"/>
      <c r="F34" s="29"/>
      <c r="G34" s="32"/>
      <c r="H34" s="31"/>
      <c r="I34" s="32"/>
      <c r="J34" s="33" t="s">
        <v>23</v>
      </c>
      <c r="K34" s="104"/>
      <c r="L34" s="62">
        <v>-26.786567000000002</v>
      </c>
      <c r="M34" s="64">
        <v>29.348755000000001</v>
      </c>
      <c r="N34" s="106"/>
    </row>
    <row r="35" spans="1:14" x14ac:dyDescent="0.25">
      <c r="A35" s="5"/>
      <c r="B35" s="20"/>
      <c r="C35" s="100"/>
      <c r="D35" s="27">
        <v>1</v>
      </c>
      <c r="E35" s="28"/>
      <c r="F35" s="29"/>
      <c r="G35" s="32"/>
      <c r="H35" s="31"/>
      <c r="I35" s="32"/>
      <c r="J35" s="33" t="s">
        <v>23</v>
      </c>
      <c r="K35" s="105"/>
      <c r="L35" s="62">
        <v>-26.779323999999999</v>
      </c>
      <c r="M35" s="65">
        <v>29.331876999999999</v>
      </c>
      <c r="N35" s="106"/>
    </row>
    <row r="36" spans="1:14" x14ac:dyDescent="0.25">
      <c r="A36" s="5"/>
      <c r="B36" s="56" t="s">
        <v>4</v>
      </c>
      <c r="C36" s="100"/>
      <c r="D36" s="52">
        <f>SUM(D30:D35)</f>
        <v>6</v>
      </c>
      <c r="E36" s="57"/>
      <c r="F36" s="53"/>
      <c r="G36" s="58">
        <v>987059.95</v>
      </c>
      <c r="H36" s="61"/>
      <c r="I36" s="55"/>
      <c r="J36" s="35"/>
      <c r="K36" s="35"/>
      <c r="L36" s="15"/>
      <c r="M36" s="7"/>
    </row>
    <row r="37" spans="1:14" ht="45" customHeight="1" x14ac:dyDescent="0.25">
      <c r="A37" s="5" t="s">
        <v>9</v>
      </c>
      <c r="B37" s="20" t="s">
        <v>10</v>
      </c>
      <c r="C37" s="100"/>
      <c r="D37" s="27">
        <v>1</v>
      </c>
      <c r="E37" s="28"/>
      <c r="F37" s="29"/>
      <c r="G37" s="43">
        <f>3777*70</f>
        <v>264390</v>
      </c>
      <c r="H37" s="27"/>
      <c r="I37" s="42"/>
      <c r="J37" s="35" t="s">
        <v>23</v>
      </c>
      <c r="K37" s="96" t="s">
        <v>26</v>
      </c>
      <c r="L37" s="15">
        <v>-27.330400000000001</v>
      </c>
      <c r="M37" s="6">
        <v>23.385449999999999</v>
      </c>
    </row>
    <row r="38" spans="1:14" x14ac:dyDescent="0.25">
      <c r="A38" s="5"/>
      <c r="B38" s="20"/>
      <c r="C38" s="100"/>
      <c r="D38" s="27">
        <v>1</v>
      </c>
      <c r="E38" s="28"/>
      <c r="F38" s="29"/>
      <c r="G38" s="43">
        <f>2779*55</f>
        <v>152845</v>
      </c>
      <c r="H38" s="27"/>
      <c r="I38" s="42"/>
      <c r="J38" s="35" t="s">
        <v>25</v>
      </c>
      <c r="K38" s="97"/>
      <c r="L38" s="15">
        <v>-27.370840000000001</v>
      </c>
      <c r="M38" s="6">
        <v>23.55264</v>
      </c>
    </row>
    <row r="39" spans="1:14" x14ac:dyDescent="0.25">
      <c r="A39" s="5"/>
      <c r="B39" s="20"/>
      <c r="C39" s="100"/>
      <c r="D39" s="27"/>
      <c r="E39" s="28">
        <v>1</v>
      </c>
      <c r="F39" s="29"/>
      <c r="G39" s="42"/>
      <c r="H39" s="44">
        <f>1765*70</f>
        <v>123550</v>
      </c>
      <c r="I39" s="42"/>
      <c r="J39" s="35" t="s">
        <v>25</v>
      </c>
      <c r="K39" s="97"/>
      <c r="L39" s="15">
        <v>-27.372969999999999</v>
      </c>
      <c r="M39" s="6">
        <v>23.552520000000001</v>
      </c>
    </row>
    <row r="40" spans="1:14" x14ac:dyDescent="0.25">
      <c r="A40" s="5"/>
      <c r="B40" s="20"/>
      <c r="C40" s="100"/>
      <c r="D40" s="27">
        <v>1</v>
      </c>
      <c r="E40" s="28"/>
      <c r="F40" s="29"/>
      <c r="G40" s="43">
        <f>4258*90</f>
        <v>383220</v>
      </c>
      <c r="H40" s="44"/>
      <c r="I40" s="42"/>
      <c r="J40" s="35" t="s">
        <v>25</v>
      </c>
      <c r="K40" s="97"/>
      <c r="L40" s="15">
        <v>-27.356580000000001</v>
      </c>
      <c r="M40" s="6">
        <v>23.410689999999999</v>
      </c>
    </row>
    <row r="41" spans="1:14" x14ac:dyDescent="0.25">
      <c r="A41" s="5"/>
      <c r="B41" s="20"/>
      <c r="C41" s="100"/>
      <c r="D41" s="27"/>
      <c r="E41" s="28">
        <v>1</v>
      </c>
      <c r="F41" s="29"/>
      <c r="G41" s="43"/>
      <c r="H41" s="44">
        <f>1044*75</f>
        <v>78300</v>
      </c>
      <c r="I41" s="42"/>
      <c r="J41" s="35" t="s">
        <v>25</v>
      </c>
      <c r="K41" s="98"/>
      <c r="L41" s="15">
        <v>-27.35088</v>
      </c>
      <c r="M41" s="6">
        <v>23.409829999999999</v>
      </c>
    </row>
    <row r="42" spans="1:14" x14ac:dyDescent="0.25">
      <c r="A42" s="5"/>
      <c r="B42" s="56" t="s">
        <v>4</v>
      </c>
      <c r="C42" s="100"/>
      <c r="D42" s="52">
        <f>SUM(D37:D41)</f>
        <v>3</v>
      </c>
      <c r="E42" s="52">
        <f>SUM(E37:E41)</f>
        <v>2</v>
      </c>
      <c r="F42" s="53"/>
      <c r="G42" s="54">
        <f>SUM(G37:G41)</f>
        <v>800455</v>
      </c>
      <c r="H42" s="54">
        <f>SUM(H37:H41)</f>
        <v>201850</v>
      </c>
      <c r="I42" s="55"/>
      <c r="J42" s="35"/>
      <c r="K42" s="34"/>
      <c r="L42" s="15"/>
      <c r="M42" s="6"/>
    </row>
    <row r="43" spans="1:14" x14ac:dyDescent="0.25">
      <c r="A43" s="5"/>
      <c r="B43" s="20" t="s">
        <v>11</v>
      </c>
      <c r="C43" s="100"/>
      <c r="D43" s="27">
        <v>0</v>
      </c>
      <c r="E43" s="28">
        <v>1</v>
      </c>
      <c r="F43" s="29"/>
      <c r="G43" s="42"/>
      <c r="H43" s="44">
        <f>1960*50</f>
        <v>98000</v>
      </c>
      <c r="I43" s="42"/>
      <c r="J43" s="35" t="s">
        <v>25</v>
      </c>
      <c r="K43" s="35" t="s">
        <v>27</v>
      </c>
      <c r="L43" s="15">
        <v>-27.583611111</v>
      </c>
      <c r="M43" s="6">
        <v>22.882777770000001</v>
      </c>
    </row>
    <row r="44" spans="1:14" ht="15.75" thickBot="1" x14ac:dyDescent="0.3">
      <c r="A44" s="8"/>
      <c r="B44" s="46" t="s">
        <v>4</v>
      </c>
      <c r="C44" s="101"/>
      <c r="D44" s="47">
        <f>SUM(D43)</f>
        <v>0</v>
      </c>
      <c r="E44" s="48">
        <f>SUM(E43)</f>
        <v>1</v>
      </c>
      <c r="F44" s="50"/>
      <c r="G44" s="51">
        <v>0</v>
      </c>
      <c r="H44" s="49">
        <f>SUM(H43)</f>
        <v>98000</v>
      </c>
      <c r="I44" s="51"/>
      <c r="J44" s="45"/>
      <c r="K44" s="45"/>
      <c r="L44" s="16"/>
      <c r="M44" s="9"/>
    </row>
    <row r="45" spans="1:14" ht="15.75" thickBot="1" x14ac:dyDescent="0.3">
      <c r="C45" t="s">
        <v>4</v>
      </c>
      <c r="D45" s="17">
        <f>SUM(D44,D42,D36,D29)</f>
        <v>33</v>
      </c>
      <c r="E45" s="26">
        <f>SUM(E44,E42)</f>
        <v>3</v>
      </c>
      <c r="F45" s="18">
        <v>0</v>
      </c>
      <c r="G45" s="10">
        <f>SUM(G29,G36,G42)</f>
        <v>6593564.21</v>
      </c>
      <c r="H45" s="10">
        <f>SUM(H42,H44)</f>
        <v>299850</v>
      </c>
      <c r="I45" s="10">
        <f>SUM(N4:N44)</f>
        <v>0</v>
      </c>
      <c r="J45" s="24"/>
      <c r="K45" s="24"/>
    </row>
    <row r="46" spans="1:14" ht="15.75" thickBot="1" x14ac:dyDescent="0.3">
      <c r="C46" t="s">
        <v>24</v>
      </c>
      <c r="G46" s="12">
        <f>$G$45/$D$45</f>
        <v>199804.97606060607</v>
      </c>
      <c r="H46" s="12">
        <f>$H$45/E45</f>
        <v>99950</v>
      </c>
      <c r="I46" s="12">
        <f>I45*0</f>
        <v>0</v>
      </c>
      <c r="L46" s="13"/>
    </row>
  </sheetData>
  <mergeCells count="17">
    <mergeCell ref="K17:K28"/>
    <mergeCell ref="C4:C44"/>
    <mergeCell ref="K30:K35"/>
    <mergeCell ref="N33:N35"/>
    <mergeCell ref="N30:N32"/>
    <mergeCell ref="K37:K41"/>
    <mergeCell ref="K5:K16"/>
    <mergeCell ref="A1:A3"/>
    <mergeCell ref="B1:B3"/>
    <mergeCell ref="L1:M1"/>
    <mergeCell ref="C1:F1"/>
    <mergeCell ref="L2:L3"/>
    <mergeCell ref="M2:M3"/>
    <mergeCell ref="D2:F2"/>
    <mergeCell ref="K1:K3"/>
    <mergeCell ref="J1:J3"/>
    <mergeCell ref="G1:I2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Lansana</dc:creator>
  <cp:lastModifiedBy>Lebohang Tekane</cp:lastModifiedBy>
  <cp:lastPrinted>2017-05-12T10:35:43Z</cp:lastPrinted>
  <dcterms:created xsi:type="dcterms:W3CDTF">2017-04-25T04:12:20Z</dcterms:created>
  <dcterms:modified xsi:type="dcterms:W3CDTF">2017-05-22T10:33:04Z</dcterms:modified>
</cp:coreProperties>
</file>