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/>
  <c r="L43"/>
  <c r="O43" s="1"/>
  <c r="J43"/>
  <c r="H43"/>
  <c r="G43"/>
  <c r="B43"/>
  <c r="O42"/>
  <c r="N42"/>
  <c r="P42" s="1"/>
  <c r="K42"/>
  <c r="J42"/>
  <c r="I42"/>
  <c r="D42"/>
  <c r="F42" s="1"/>
  <c r="C42"/>
  <c r="E42" s="1"/>
  <c r="O41"/>
  <c r="N41"/>
  <c r="P41" s="1"/>
  <c r="J41"/>
  <c r="I41"/>
  <c r="K41" s="1"/>
  <c r="F41"/>
  <c r="D41"/>
  <c r="C41"/>
  <c r="E41" s="1"/>
  <c r="P40"/>
  <c r="O40"/>
  <c r="N40"/>
  <c r="K40"/>
  <c r="J40"/>
  <c r="I40"/>
  <c r="E40"/>
  <c r="D40"/>
  <c r="F40" s="1"/>
  <c r="C40"/>
  <c r="P39"/>
  <c r="O39"/>
  <c r="K39"/>
  <c r="J39"/>
  <c r="E39"/>
  <c r="D39"/>
  <c r="F39" s="1"/>
  <c r="P38"/>
  <c r="O38"/>
  <c r="K38"/>
  <c r="J38"/>
  <c r="E38"/>
  <c r="D38"/>
  <c r="F38" s="1"/>
  <c r="P37"/>
  <c r="O37"/>
  <c r="N37"/>
  <c r="N43" s="1"/>
  <c r="P43" s="1"/>
  <c r="K37"/>
  <c r="J37"/>
  <c r="I37"/>
  <c r="I43" s="1"/>
  <c r="K43" s="1"/>
  <c r="D37"/>
  <c r="D43" s="1"/>
  <c r="F43" s="1"/>
  <c r="C37"/>
  <c r="C43" s="1"/>
  <c r="M32"/>
  <c r="O32" s="1"/>
  <c r="L32"/>
  <c r="J32"/>
  <c r="H32"/>
  <c r="G32"/>
  <c r="C32"/>
  <c r="B32"/>
  <c r="E32" s="1"/>
  <c r="O31"/>
  <c r="N31"/>
  <c r="P31" s="1"/>
  <c r="K31"/>
  <c r="J31"/>
  <c r="I31"/>
  <c r="E31"/>
  <c r="D31"/>
  <c r="F31" s="1"/>
  <c r="O30"/>
  <c r="N30"/>
  <c r="P30" s="1"/>
  <c r="K30"/>
  <c r="J30"/>
  <c r="I30"/>
  <c r="F30"/>
  <c r="E30"/>
  <c r="D30"/>
  <c r="O29"/>
  <c r="N29"/>
  <c r="P29" s="1"/>
  <c r="J29"/>
  <c r="I29"/>
  <c r="K29" s="1"/>
  <c r="F29"/>
  <c r="E29"/>
  <c r="D29"/>
  <c r="P28"/>
  <c r="O28"/>
  <c r="K28"/>
  <c r="J28"/>
  <c r="F28"/>
  <c r="E28"/>
  <c r="P27"/>
  <c r="O27"/>
  <c r="K27"/>
  <c r="J27"/>
  <c r="F27"/>
  <c r="E27"/>
  <c r="P26"/>
  <c r="O26"/>
  <c r="N26"/>
  <c r="J26"/>
  <c r="I26"/>
  <c r="I32" s="1"/>
  <c r="K32" s="1"/>
  <c r="E26"/>
  <c r="D26"/>
  <c r="D32" s="1"/>
  <c r="F32" s="1"/>
  <c r="M21"/>
  <c r="L21"/>
  <c r="O21" s="1"/>
  <c r="G21"/>
  <c r="B21"/>
  <c r="P20"/>
  <c r="O20"/>
  <c r="N20"/>
  <c r="K20"/>
  <c r="J20"/>
  <c r="I20"/>
  <c r="H20"/>
  <c r="F20"/>
  <c r="E20"/>
  <c r="D20"/>
  <c r="C20"/>
  <c r="P19"/>
  <c r="O19"/>
  <c r="N19"/>
  <c r="M19"/>
  <c r="K19"/>
  <c r="J19"/>
  <c r="I19"/>
  <c r="H19"/>
  <c r="F19"/>
  <c r="E19"/>
  <c r="D19"/>
  <c r="C19"/>
  <c r="P18"/>
  <c r="O18"/>
  <c r="N18"/>
  <c r="J18"/>
  <c r="I18"/>
  <c r="K18" s="1"/>
  <c r="D18"/>
  <c r="F18" s="1"/>
  <c r="C18"/>
  <c r="E18" s="1"/>
  <c r="P17"/>
  <c r="O17"/>
  <c r="K17"/>
  <c r="J17"/>
  <c r="H17"/>
  <c r="H21" s="1"/>
  <c r="E17"/>
  <c r="D17"/>
  <c r="F17" s="1"/>
  <c r="C17"/>
  <c r="P16"/>
  <c r="O16"/>
  <c r="K16"/>
  <c r="J16"/>
  <c r="E16"/>
  <c r="D16"/>
  <c r="F16" s="1"/>
  <c r="O15"/>
  <c r="N15"/>
  <c r="P15" s="1"/>
  <c r="K15"/>
  <c r="J15"/>
  <c r="I15"/>
  <c r="F15"/>
  <c r="E15"/>
  <c r="D15"/>
  <c r="D21" s="1"/>
  <c r="F21" s="1"/>
  <c r="C15"/>
  <c r="C21" s="1"/>
  <c r="L10"/>
  <c r="H10"/>
  <c r="G10"/>
  <c r="J10" s="1"/>
  <c r="D10"/>
  <c r="F10" s="1"/>
  <c r="C10"/>
  <c r="B10"/>
  <c r="E10" s="1"/>
  <c r="O9"/>
  <c r="N9"/>
  <c r="P9" s="1"/>
  <c r="M9"/>
  <c r="J9"/>
  <c r="I9"/>
  <c r="K9" s="1"/>
  <c r="H9"/>
  <c r="E9"/>
  <c r="D9"/>
  <c r="F9" s="1"/>
  <c r="C9"/>
  <c r="O8"/>
  <c r="N8"/>
  <c r="P8" s="1"/>
  <c r="M8"/>
  <c r="J8"/>
  <c r="I8"/>
  <c r="K8" s="1"/>
  <c r="H8"/>
  <c r="E8"/>
  <c r="D8"/>
  <c r="F8" s="1"/>
  <c r="C8"/>
  <c r="O7"/>
  <c r="N7"/>
  <c r="P7" s="1"/>
  <c r="M7"/>
  <c r="J7"/>
  <c r="I7"/>
  <c r="K7" s="1"/>
  <c r="H7"/>
  <c r="E7"/>
  <c r="D7"/>
  <c r="F7" s="1"/>
  <c r="C7"/>
  <c r="O6"/>
  <c r="N6"/>
  <c r="P6" s="1"/>
  <c r="M6"/>
  <c r="J6"/>
  <c r="I6"/>
  <c r="K6" s="1"/>
  <c r="H6"/>
  <c r="E6"/>
  <c r="D6"/>
  <c r="F6" s="1"/>
  <c r="C6"/>
  <c r="O5"/>
  <c r="N5"/>
  <c r="P5" s="1"/>
  <c r="J5"/>
  <c r="I5"/>
  <c r="K5" s="1"/>
  <c r="F5"/>
  <c r="E5"/>
  <c r="D5"/>
  <c r="P4"/>
  <c r="O4"/>
  <c r="N4"/>
  <c r="N10" s="1"/>
  <c r="M4"/>
  <c r="M10" s="1"/>
  <c r="K4"/>
  <c r="J4"/>
  <c r="I4"/>
  <c r="I10" s="1"/>
  <c r="K10" s="1"/>
  <c r="E4"/>
  <c r="D4"/>
  <c r="F4" s="1"/>
  <c r="O10" l="1"/>
  <c r="J21"/>
  <c r="P10"/>
  <c r="E43"/>
  <c r="E21"/>
  <c r="I21"/>
  <c r="K21" s="1"/>
  <c r="N32"/>
  <c r="P32" s="1"/>
  <c r="N21"/>
  <c r="P21" s="1"/>
  <c r="K26"/>
  <c r="E37"/>
  <c r="F26"/>
  <c r="F37"/>
</calcChain>
</file>

<file path=xl/sharedStrings.xml><?xml version="1.0" encoding="utf-8"?>
<sst xmlns="http://schemas.openxmlformats.org/spreadsheetml/2006/main" count="104" uniqueCount="25">
  <si>
    <t>2019 JULY</t>
  </si>
  <si>
    <t>2019 AUGUST</t>
  </si>
  <si>
    <t>2019 SEPTEMBER</t>
  </si>
  <si>
    <t>DESCRIPTION</t>
  </si>
  <si>
    <t>BUDGET</t>
  </si>
  <si>
    <t>BILLING</t>
  </si>
  <si>
    <t>PAYMENTS</t>
  </si>
  <si>
    <t>%vrnc</t>
  </si>
  <si>
    <t>%pyt</t>
  </si>
  <si>
    <t>Property Rates</t>
  </si>
  <si>
    <t>Electricity</t>
  </si>
  <si>
    <t>Water</t>
  </si>
  <si>
    <t>Sewerage</t>
  </si>
  <si>
    <t xml:space="preserve">Refuse Removal </t>
  </si>
  <si>
    <t>Interest</t>
  </si>
  <si>
    <t>TOTAL</t>
  </si>
  <si>
    <t>2019 OCTOBER</t>
  </si>
  <si>
    <t>2019 NOVEMBER</t>
  </si>
  <si>
    <t>2019 DECEMBER</t>
  </si>
  <si>
    <t>2020 JANUARY</t>
  </si>
  <si>
    <t>2020 FEBRUARY</t>
  </si>
  <si>
    <t>2020 MARCH</t>
  </si>
  <si>
    <t>2020 APRIL</t>
  </si>
  <si>
    <t>2020 MAY</t>
  </si>
  <si>
    <t>2020 JUNE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</si>
</sst>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Garamond"/>
      <family val="1"/>
    </font>
    <font>
      <b/>
      <sz val="1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9" fontId="0" fillId="0" borderId="0" xfId="2" applyFont="1"/>
    <xf numFmtId="0" fontId="3" fillId="0" borderId="0" xfId="0" applyFont="1" applyBorder="1"/>
    <xf numFmtId="0" fontId="4" fillId="2" borderId="4" xfId="0" applyFont="1" applyFill="1" applyBorder="1"/>
    <xf numFmtId="164" fontId="4" fillId="2" borderId="5" xfId="1" applyNumberFormat="1" applyFont="1" applyFill="1" applyBorder="1"/>
    <xf numFmtId="0" fontId="4" fillId="2" borderId="5" xfId="0" applyFont="1" applyFill="1" applyBorder="1"/>
    <xf numFmtId="9" fontId="4" fillId="2" borderId="5" xfId="2" applyFont="1" applyFill="1" applyBorder="1" applyAlignment="1">
      <alignment horizontal="center"/>
    </xf>
    <xf numFmtId="0" fontId="3" fillId="2" borderId="6" xfId="0" applyFont="1" applyFill="1" applyBorder="1"/>
    <xf numFmtId="164" fontId="0" fillId="3" borderId="5" xfId="1" applyNumberFormat="1" applyFont="1" applyFill="1" applyBorder="1"/>
    <xf numFmtId="164" fontId="0" fillId="0" borderId="5" xfId="1" applyNumberFormat="1" applyFont="1" applyBorder="1"/>
    <xf numFmtId="43" fontId="0" fillId="0" borderId="5" xfId="1" applyFont="1" applyBorder="1"/>
    <xf numFmtId="9" fontId="3" fillId="0" borderId="5" xfId="0" applyNumberFormat="1" applyFont="1" applyBorder="1" applyAlignment="1">
      <alignment horizontal="left"/>
    </xf>
    <xf numFmtId="9" fontId="3" fillId="0" borderId="5" xfId="2" applyFont="1" applyBorder="1" applyAlignment="1">
      <alignment horizontal="left"/>
    </xf>
    <xf numFmtId="43" fontId="0" fillId="0" borderId="0" xfId="1" applyFont="1"/>
    <xf numFmtId="164" fontId="0" fillId="0" borderId="5" xfId="1" applyNumberFormat="1" applyFont="1" applyFill="1" applyBorder="1"/>
    <xf numFmtId="164" fontId="0" fillId="0" borderId="1" xfId="1" applyNumberFormat="1" applyFont="1" applyFill="1" applyBorder="1"/>
    <xf numFmtId="164" fontId="0" fillId="0" borderId="1" xfId="1" applyNumberFormat="1" applyFont="1" applyBorder="1"/>
    <xf numFmtId="0" fontId="4" fillId="2" borderId="7" xfId="0" applyFont="1" applyFill="1" applyBorder="1"/>
    <xf numFmtId="164" fontId="4" fillId="3" borderId="8" xfId="1" applyNumberFormat="1" applyFont="1" applyFill="1" applyBorder="1"/>
    <xf numFmtId="165" fontId="4" fillId="0" borderId="9" xfId="0" applyNumberFormat="1" applyFont="1" applyFill="1" applyBorder="1"/>
    <xf numFmtId="9" fontId="4" fillId="0" borderId="5" xfId="0" applyNumberFormat="1" applyFont="1" applyBorder="1" applyAlignment="1">
      <alignment horizontal="left"/>
    </xf>
    <xf numFmtId="9" fontId="4" fillId="0" borderId="5" xfId="2" applyFont="1" applyBorder="1" applyAlignment="1">
      <alignment horizontal="left"/>
    </xf>
    <xf numFmtId="165" fontId="4" fillId="0" borderId="10" xfId="0" applyNumberFormat="1" applyFont="1" applyFill="1" applyBorder="1"/>
    <xf numFmtId="0" fontId="2" fillId="0" borderId="0" xfId="0" applyFont="1"/>
    <xf numFmtId="164" fontId="3" fillId="0" borderId="0" xfId="0" applyNumberFormat="1" applyFont="1" applyFill="1" applyBorder="1"/>
    <xf numFmtId="9" fontId="0" fillId="0" borderId="5" xfId="2" applyFont="1" applyBorder="1"/>
    <xf numFmtId="9" fontId="2" fillId="0" borderId="5" xfId="2" applyFont="1" applyBorder="1"/>
    <xf numFmtId="164" fontId="0" fillId="0" borderId="0" xfId="0" applyNumberFormat="1"/>
    <xf numFmtId="17" fontId="4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tanleymo\Documents\2019-2020\AUGUST%202019\201908_LP_Payment_Summary_20200211_1035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tanleymo\Documents\2019-2020\NOVEMBER%202019\201911_LP_Payment_Summary_20200211_09424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tanleymo\Documents\2019-2020\DECEMBER%202019\201912_LP_Payment_Summary_20200117_16124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tanleymo\Documents\2019-2020\JANUARY%202020\202001_LP_Payment_Summar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EBRUARY%202020\202002_LP_Payment_Summary_20200302_1001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ILLING\MARCH%202020\202003_LP_Payment_Summary_20200402_11435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tanleymo\Documents\2019-2020\BILLING\APRIL%202020\202004_LP_Payment_Summary_20200501_1145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leymo/Documents/2019-2020/BILLING/APRIL%202020/RATE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LE~1/AppData/Local/Temp/202005_LP_Payment_Summary_20200602_101404.csv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tanleymo\Documents\2019-2020\BILLING\JUNE%202020\202005_LP_Payment_Summary_20200708_13264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LE~1/AppData/Local/Temp/202007_LP_Payment_Summary_20200811_190019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tanleymo\Documents\2019-2020\SEPTEMBER%202019\201909_LP_Payment_Summary_20200211_1017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leymo/Documents/2019-2020/BILLING/APRIL%202020/SEWE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leymo/Documents/2019-2020/BILLING/APRIL%202020/REFUS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leymo/Documents/2019-2020/BILLING/APRIL%202020/INTER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tanleymo\Documents\2019-2020\SEPTEMBER%202019\BILLING%20REPOR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tanleymo\Documents\2019-2020\OCTOBER%202019\201910_LP_Payment_Summary_20200211_10030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ILLING\GL%20WA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ILLING\GL%20SEW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ILLING\GL%20REFUS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ILLING\GL%20INTERES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tanleymo\Documents\2019-2020\OCTOBER%202019\BILLING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08_LP_Payment_Summary_20200"/>
    </sheetNames>
    <sheetDataSet>
      <sheetData sheetId="0" refreshError="1">
        <row r="8">
          <cell r="C8">
            <v>-1418888.23</v>
          </cell>
        </row>
        <row r="17">
          <cell r="C17">
            <v>-24583372.890000001</v>
          </cell>
        </row>
        <row r="18">
          <cell r="C18">
            <v>-6504781.0499999998</v>
          </cell>
        </row>
        <row r="19">
          <cell r="C19">
            <v>-6875407.6900000004</v>
          </cell>
        </row>
        <row r="21">
          <cell r="C21">
            <v>-16568513.470000001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1911_LP_Payment_Summary_20200"/>
    </sheetNames>
    <sheetDataSet>
      <sheetData sheetId="0" refreshError="1">
        <row r="8">
          <cell r="C8">
            <v>-4958825.99</v>
          </cell>
        </row>
        <row r="16">
          <cell r="C16">
            <v>-42651624.149999999</v>
          </cell>
        </row>
        <row r="17">
          <cell r="C17">
            <v>-9647116.8499999996</v>
          </cell>
        </row>
        <row r="18">
          <cell r="C18">
            <v>-9198344.4700000007</v>
          </cell>
        </row>
        <row r="20">
          <cell r="C20">
            <v>-21945824.420000002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1912_LP_Payment_Summary_20200"/>
    </sheetNames>
    <sheetDataSet>
      <sheetData sheetId="0" refreshError="1">
        <row r="8">
          <cell r="C8">
            <v>-1418108.9</v>
          </cell>
        </row>
        <row r="16">
          <cell r="C16">
            <v>-29970069.960000001</v>
          </cell>
        </row>
        <row r="17">
          <cell r="C17">
            <v>-7125070.96</v>
          </cell>
        </row>
        <row r="18">
          <cell r="C18">
            <v>-7535834.1200000001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2001_LP_Payment_Summary_20200"/>
    </sheetNames>
    <sheetDataSet>
      <sheetData sheetId="0" refreshError="1">
        <row r="8">
          <cell r="C8">
            <v>-2242387.96</v>
          </cell>
        </row>
        <row r="16">
          <cell r="C16">
            <v>-29177830.73</v>
          </cell>
        </row>
        <row r="17">
          <cell r="C17">
            <v>-5961141.6500000004</v>
          </cell>
        </row>
        <row r="18">
          <cell r="C18">
            <v>-6362885.25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2002_LP_Payment_Summary_20200"/>
    </sheetNames>
    <sheetDataSet>
      <sheetData sheetId="0" refreshError="1">
        <row r="8">
          <cell r="C8">
            <v>-2506207.65</v>
          </cell>
        </row>
        <row r="16">
          <cell r="C16">
            <v>-32947092.219999999</v>
          </cell>
        </row>
        <row r="17">
          <cell r="C17">
            <v>-7251998</v>
          </cell>
        </row>
        <row r="18">
          <cell r="C18">
            <v>-7481413.71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2003_LP_Payment_Summary_20200"/>
    </sheetNames>
    <sheetDataSet>
      <sheetData sheetId="0" refreshError="1">
        <row r="8">
          <cell r="C8">
            <v>-1154816.19</v>
          </cell>
        </row>
        <row r="16">
          <cell r="C16">
            <v>-30162469.460000001</v>
          </cell>
        </row>
        <row r="17">
          <cell r="C17">
            <v>-7221539.4800000004</v>
          </cell>
        </row>
        <row r="18">
          <cell r="C18">
            <v>-7758824.9000000004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2004_LP_Payment_Summary_20200"/>
    </sheetNames>
    <sheetDataSet>
      <sheetData sheetId="0" refreshError="1">
        <row r="8">
          <cell r="C8">
            <v>-636685.14</v>
          </cell>
        </row>
        <row r="16">
          <cell r="C16">
            <v>-22454938.109999999</v>
          </cell>
        </row>
        <row r="17">
          <cell r="C17">
            <v>-5141734.53</v>
          </cell>
        </row>
        <row r="18">
          <cell r="C18">
            <v>-5580247.8200000003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71966">
          <cell r="C71966">
            <v>43422256.649997145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2005_LP_Payment_Summary_20200"/>
    </sheetNames>
    <sheetDataSet>
      <sheetData sheetId="0" refreshError="1">
        <row r="8">
          <cell r="C8">
            <v>-861557.99</v>
          </cell>
        </row>
        <row r="16">
          <cell r="C16">
            <v>-25508667.829999998</v>
          </cell>
        </row>
        <row r="17">
          <cell r="C17">
            <v>-6132302.2599999998</v>
          </cell>
        </row>
        <row r="18">
          <cell r="C18">
            <v>-6547263.29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2005_LP_Payment_Summary_20200"/>
    </sheetNames>
    <sheetDataSet>
      <sheetData sheetId="0" refreshError="1">
        <row r="8">
          <cell r="C8">
            <v>-856582.02</v>
          </cell>
        </row>
        <row r="16">
          <cell r="C16">
            <v>-25732831.399999999</v>
          </cell>
        </row>
        <row r="17">
          <cell r="C17">
            <v>-6181368.9400000004</v>
          </cell>
        </row>
        <row r="18">
          <cell r="C18">
            <v>-6597564.0899999999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2007_LP_Payment_Summary_20200"/>
    </sheetNames>
    <sheetDataSet>
      <sheetData sheetId="0" refreshError="1">
        <row r="8">
          <cell r="C8">
            <v>-4896271.88</v>
          </cell>
        </row>
        <row r="16">
          <cell r="C16">
            <v>-48905794.189999998</v>
          </cell>
        </row>
        <row r="17">
          <cell r="C17">
            <v>-8022659.1500000004</v>
          </cell>
        </row>
        <row r="18">
          <cell r="C18">
            <v>-7751369.3600000003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09_LP_Payment_Summary_20200"/>
    </sheetNames>
    <sheetDataSet>
      <sheetData sheetId="0" refreshError="1">
        <row r="8">
          <cell r="C8">
            <v>-1928739.53</v>
          </cell>
        </row>
        <row r="17">
          <cell r="C17">
            <v>-33726026.689999998</v>
          </cell>
        </row>
        <row r="18">
          <cell r="C18">
            <v>-8886513.7899999991</v>
          </cell>
        </row>
        <row r="19">
          <cell r="C19">
            <v>-9112129.25</v>
          </cell>
        </row>
        <row r="21">
          <cell r="C21">
            <v>-19637097.350000001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ote_20200501111724"/>
    </sheetNames>
    <sheetDataSet>
      <sheetData sheetId="0" refreshError="1">
        <row r="121548">
          <cell r="K121548">
            <v>-8392421.7600003928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ote_20200501110923"/>
    </sheetNames>
    <sheetDataSet>
      <sheetData sheetId="0" refreshError="1">
        <row r="135442">
          <cell r="K135442">
            <v>-9378268.6799962651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ote_20200501111316"/>
    </sheetNames>
    <sheetDataSet>
      <sheetData sheetId="0" refreshError="1">
        <row r="204509">
          <cell r="K204509">
            <v>-9894241.6499993838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ESSMENT RATE"/>
      <sheetName val="ELECTRICITY"/>
      <sheetName val="WATER"/>
      <sheetName val="REFUSE"/>
      <sheetName val="SEWER"/>
      <sheetName val="VAT"/>
      <sheetName val="INTEREST"/>
      <sheetName val="INDIGENT"/>
      <sheetName val="RECEIPTS"/>
      <sheetName val="DEPOSIT"/>
    </sheetNames>
    <sheetDataSet>
      <sheetData sheetId="0" refreshError="1">
        <row r="66065">
          <cell r="C66065">
            <v>42900635.169997074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910_LP_Payment_Summary_20200"/>
    </sheetNames>
    <sheetDataSet>
      <sheetData sheetId="0" refreshError="1">
        <row r="8">
          <cell r="C8">
            <v>-3840760.1</v>
          </cell>
        </row>
        <row r="17">
          <cell r="C17">
            <v>-53547020.189999998</v>
          </cell>
        </row>
        <row r="18">
          <cell r="C18">
            <v>-8865992.3599999994</v>
          </cell>
        </row>
        <row r="19">
          <cell r="C19">
            <v>-9158676.6699999999</v>
          </cell>
        </row>
        <row r="21">
          <cell r="C21">
            <v>-26225426.829999998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ote"/>
    </sheetNames>
    <sheetDataSet>
      <sheetData sheetId="0" refreshError="1">
        <row r="12">
          <cell r="G12">
            <v>-21275241.079999998</v>
          </cell>
        </row>
        <row r="21">
          <cell r="G21">
            <v>-30097335.41</v>
          </cell>
        </row>
        <row r="29">
          <cell r="G29">
            <v>-32514819.059999999</v>
          </cell>
        </row>
        <row r="34">
          <cell r="G34">
            <v>-23169044.710000001</v>
          </cell>
        </row>
        <row r="42">
          <cell r="G42">
            <v>-29724443.059999999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ote_0002"/>
    </sheetNames>
    <sheetDataSet>
      <sheetData sheetId="0" refreshError="1">
        <row r="12">
          <cell r="F12">
            <v>-9556635.5099999998</v>
          </cell>
        </row>
        <row r="19">
          <cell r="F19">
            <v>-8542973.6699999999</v>
          </cell>
        </row>
        <row r="26">
          <cell r="F26">
            <v>-8535129.0600000005</v>
          </cell>
        </row>
        <row r="29">
          <cell r="F29">
            <v>-8608218.1799999997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ote_0001"/>
    </sheetNames>
    <sheetDataSet>
      <sheetData sheetId="0" refreshError="1">
        <row r="12">
          <cell r="G12">
            <v>-9620232.1400000006</v>
          </cell>
        </row>
        <row r="19">
          <cell r="G19">
            <v>-9565777.5299999993</v>
          </cell>
        </row>
        <row r="26">
          <cell r="G26">
            <v>-10036201.1</v>
          </cell>
        </row>
        <row r="30">
          <cell r="G30">
            <v>-8989662.7300000004</v>
          </cell>
        </row>
        <row r="37">
          <cell r="G37">
            <v>-9478581.3599999994</v>
          </cell>
        </row>
        <row r="41">
          <cell r="G41">
            <v>-9480591.2200000007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ote_0003"/>
    </sheetNames>
    <sheetDataSet>
      <sheetData sheetId="0" refreshError="1">
        <row r="11">
          <cell r="F11">
            <v>-8699083.2100000009</v>
          </cell>
        </row>
        <row r="15">
          <cell r="F15">
            <v>-9078608.7200000007</v>
          </cell>
        </row>
        <row r="20">
          <cell r="F20">
            <v>-9113184.5299999993</v>
          </cell>
        </row>
        <row r="21">
          <cell r="F21">
            <v>-8615596.5500000007</v>
          </cell>
        </row>
        <row r="24">
          <cell r="F24">
            <v>-8903856.9700000007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LECTRICITY"/>
      <sheetName val="WATER"/>
      <sheetName val="ASSESSMENT RATES"/>
      <sheetName val="REFUSE"/>
      <sheetName val="SEWER"/>
      <sheetName val="INTEREST"/>
      <sheetName val="RECEIPTS"/>
      <sheetName val="VAT"/>
    </sheetNames>
    <sheetDataSet>
      <sheetData sheetId="0" refreshError="1"/>
      <sheetData sheetId="1" refreshError="1"/>
      <sheetData sheetId="2" refreshError="1">
        <row r="71592">
          <cell r="C71592">
            <v>41648679.259996548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topLeftCell="A26" workbookViewId="0">
      <selection activeCell="J8" sqref="J8"/>
    </sheetView>
  </sheetViews>
  <sheetFormatPr defaultColWidth="9.140625" defaultRowHeight="15"/>
  <cols>
    <col min="1" max="1" width="17.42578125" customWidth="1"/>
    <col min="2" max="2" width="16.140625" customWidth="1"/>
    <col min="3" max="4" width="15.42578125" customWidth="1"/>
    <col min="5" max="6" width="8.140625" customWidth="1"/>
    <col min="7" max="7" width="15.85546875" customWidth="1"/>
    <col min="8" max="9" width="16.140625" customWidth="1"/>
    <col min="10" max="11" width="7" customWidth="1"/>
    <col min="12" max="12" width="15.7109375" customWidth="1"/>
    <col min="13" max="14" width="16" customWidth="1"/>
    <col min="15" max="15" width="8.85546875" customWidth="1"/>
  </cols>
  <sheetData>
    <row r="1" spans="1:16">
      <c r="E1" s="1"/>
      <c r="F1" s="1"/>
    </row>
    <row r="2" spans="1:16" ht="15" customHeight="1">
      <c r="A2" s="2"/>
      <c r="B2" s="28" t="s">
        <v>0</v>
      </c>
      <c r="C2" s="29"/>
      <c r="D2" s="29"/>
      <c r="E2" s="29"/>
      <c r="F2" s="30"/>
      <c r="G2" s="28" t="s">
        <v>1</v>
      </c>
      <c r="H2" s="29"/>
      <c r="I2" s="29"/>
      <c r="J2" s="29"/>
      <c r="K2" s="30"/>
      <c r="L2" s="28" t="s">
        <v>2</v>
      </c>
      <c r="M2" s="29"/>
      <c r="N2" s="29"/>
      <c r="O2" s="29"/>
      <c r="P2" s="30"/>
    </row>
    <row r="3" spans="1:16">
      <c r="A3" s="3" t="s">
        <v>3</v>
      </c>
      <c r="B3" s="4" t="s">
        <v>4</v>
      </c>
      <c r="C3" s="5" t="s">
        <v>5</v>
      </c>
      <c r="D3" s="5" t="s">
        <v>6</v>
      </c>
      <c r="E3" s="6" t="s">
        <v>7</v>
      </c>
      <c r="F3" s="6" t="s">
        <v>8</v>
      </c>
      <c r="G3" s="4" t="s">
        <v>4</v>
      </c>
      <c r="H3" s="5" t="s">
        <v>5</v>
      </c>
      <c r="I3" s="5" t="s">
        <v>6</v>
      </c>
      <c r="J3" s="6" t="s">
        <v>7</v>
      </c>
      <c r="K3" s="6" t="s">
        <v>8</v>
      </c>
      <c r="L3" s="4" t="s">
        <v>4</v>
      </c>
      <c r="M3" s="5" t="s">
        <v>5</v>
      </c>
      <c r="N3" s="5" t="s">
        <v>6</v>
      </c>
      <c r="O3" s="6" t="s">
        <v>7</v>
      </c>
      <c r="P3" s="6" t="s">
        <v>8</v>
      </c>
    </row>
    <row r="4" spans="1:16">
      <c r="A4" s="7" t="s">
        <v>9</v>
      </c>
      <c r="B4" s="8">
        <v>40000000</v>
      </c>
      <c r="C4" s="9">
        <v>41294309.429996222</v>
      </c>
      <c r="D4" s="10">
        <f>'[1]201908_LP_Payment_Summary_20200'!$C$17*-1</f>
        <v>24583372.890000001</v>
      </c>
      <c r="E4" s="11">
        <f>(B4-C4)/B4</f>
        <v>-3.235773574990556E-2</v>
      </c>
      <c r="F4" s="12">
        <f>D4/C4</f>
        <v>0.59532108005522466</v>
      </c>
      <c r="G4" s="8">
        <v>40000000</v>
      </c>
      <c r="H4" s="13">
        <v>43348338.37999709</v>
      </c>
      <c r="I4" s="10">
        <f>'[2]201909_LP_Payment_Summary_20200'!$C$17*-1</f>
        <v>33726026.689999998</v>
      </c>
      <c r="J4" s="11">
        <f>(G4-H4)/G4</f>
        <v>-8.3708459499927237E-2</v>
      </c>
      <c r="K4" s="12">
        <f>I4/H4</f>
        <v>0.77802351717275353</v>
      </c>
      <c r="L4" s="8">
        <v>40000000</v>
      </c>
      <c r="M4" s="13">
        <f>'[3]ASSESSMENT RATE'!$C$66065</f>
        <v>42900635.169997074</v>
      </c>
      <c r="N4" s="10">
        <f>'[4]201910_LP_Payment_Summary_20200'!$C$17*-1</f>
        <v>53547020.189999998</v>
      </c>
      <c r="O4" s="11">
        <f>(L4-M4)/L4</f>
        <v>-7.2515879249926848E-2</v>
      </c>
      <c r="P4" s="12">
        <f>N4/M4</f>
        <v>1.248163808713223</v>
      </c>
    </row>
    <row r="5" spans="1:16">
      <c r="A5" s="7" t="s">
        <v>10</v>
      </c>
      <c r="B5" s="8">
        <v>99402500</v>
      </c>
      <c r="C5" s="14">
        <v>90179137.430000007</v>
      </c>
      <c r="D5" s="14">
        <f>-78795244.52*-1</f>
        <v>78795244.519999996</v>
      </c>
      <c r="E5" s="11">
        <f t="shared" ref="E5:E10" si="0">(B5-C5)/B5</f>
        <v>9.2788034204371039E-2</v>
      </c>
      <c r="F5" s="12">
        <f t="shared" ref="F5:F10" si="1">D5/C5</f>
        <v>0.87376356400795518</v>
      </c>
      <c r="G5" s="8">
        <v>99402500</v>
      </c>
      <c r="H5" s="15">
        <v>91691828.140000001</v>
      </c>
      <c r="I5" s="14">
        <f>-84815534.72*-1</f>
        <v>84815534.719999999</v>
      </c>
      <c r="J5" s="11">
        <f t="shared" ref="J5:J10" si="2">(G5-H5)/G5</f>
        <v>7.7570200548275944E-2</v>
      </c>
      <c r="K5" s="12">
        <f t="shared" ref="K5:K10" si="3">I5/H5</f>
        <v>0.92500647484636356</v>
      </c>
      <c r="L5" s="8">
        <v>99402500</v>
      </c>
      <c r="M5" s="15">
        <v>89154905.599999994</v>
      </c>
      <c r="N5" s="14">
        <f>-97498330.17*-1</f>
        <v>97498330.170000002</v>
      </c>
      <c r="O5" s="11">
        <f t="shared" ref="O5:O10" si="4">(L5-M5)/L5</f>
        <v>0.10309191821131265</v>
      </c>
      <c r="P5" s="12">
        <f t="shared" ref="P5:P10" si="5">N5/M5</f>
        <v>1.0935834603138204</v>
      </c>
    </row>
    <row r="6" spans="1:16">
      <c r="A6" s="7" t="s">
        <v>11</v>
      </c>
      <c r="B6" s="8">
        <v>25903416</v>
      </c>
      <c r="C6" s="9">
        <f>[5]Vote!$G$12*-1</f>
        <v>21275241.079999998</v>
      </c>
      <c r="D6" s="9">
        <f>'[1]201908_LP_Payment_Summary_20200'!$C$21*-1</f>
        <v>16568513.470000001</v>
      </c>
      <c r="E6" s="11">
        <f t="shared" si="0"/>
        <v>0.17867044717190975</v>
      </c>
      <c r="F6" s="12">
        <f t="shared" si="1"/>
        <v>0.7787697167660016</v>
      </c>
      <c r="G6" s="8">
        <v>25903416</v>
      </c>
      <c r="H6" s="16">
        <f>[5]Vote!$G$21*-1</f>
        <v>30097335.41</v>
      </c>
      <c r="I6" s="9">
        <f>'[2]201909_LP_Payment_Summary_20200'!$C$21*-1</f>
        <v>19637097.350000001</v>
      </c>
      <c r="J6" s="11">
        <f t="shared" si="2"/>
        <v>-0.16190603625406008</v>
      </c>
      <c r="K6" s="12">
        <f t="shared" si="3"/>
        <v>0.65245301892989072</v>
      </c>
      <c r="L6" s="8">
        <v>25903416</v>
      </c>
      <c r="M6" s="16">
        <f>[5]Vote!$G$29*-1</f>
        <v>32514819.059999999</v>
      </c>
      <c r="N6" s="9">
        <f>'[4]201910_LP_Payment_Summary_20200'!$C$21*-1</f>
        <v>26225426.829999998</v>
      </c>
      <c r="O6" s="11">
        <f t="shared" si="4"/>
        <v>-0.25523286426778607</v>
      </c>
      <c r="P6" s="12">
        <f t="shared" si="5"/>
        <v>0.80656843827443392</v>
      </c>
    </row>
    <row r="7" spans="1:16">
      <c r="A7" s="7" t="s">
        <v>12</v>
      </c>
      <c r="B7" s="8">
        <v>11147750</v>
      </c>
      <c r="C7" s="9">
        <f>[6]Vote_0002!$F$12*-1</f>
        <v>9556635.5099999998</v>
      </c>
      <c r="D7" s="9">
        <f>'[1]201908_LP_Payment_Summary_20200'!$C$18*-1</f>
        <v>6504781.0499999998</v>
      </c>
      <c r="E7" s="11">
        <f t="shared" si="0"/>
        <v>0.14272965306900498</v>
      </c>
      <c r="F7" s="12">
        <f t="shared" si="1"/>
        <v>0.68065597387212684</v>
      </c>
      <c r="G7" s="8">
        <v>11147750</v>
      </c>
      <c r="H7" s="16">
        <f>[6]Vote_0002!$F$19*-1</f>
        <v>8542973.6699999999</v>
      </c>
      <c r="I7" s="9">
        <f>'[2]201909_LP_Payment_Summary_20200'!$C$18*-1</f>
        <v>8886513.7899999991</v>
      </c>
      <c r="J7" s="11">
        <f t="shared" si="2"/>
        <v>0.23365937790137023</v>
      </c>
      <c r="K7" s="12">
        <f t="shared" si="3"/>
        <v>1.0402131779015538</v>
      </c>
      <c r="L7" s="8">
        <v>11147750</v>
      </c>
      <c r="M7" s="16">
        <f>[6]Vote_0002!$F$26*-1</f>
        <v>8535129.0600000005</v>
      </c>
      <c r="N7" s="9">
        <f>'[4]201910_LP_Payment_Summary_20200'!$C$18*-1</f>
        <v>8865992.3599999994</v>
      </c>
      <c r="O7" s="11">
        <f t="shared" si="4"/>
        <v>0.23436307236886361</v>
      </c>
      <c r="P7" s="12">
        <f t="shared" si="5"/>
        <v>1.0387648854134608</v>
      </c>
    </row>
    <row r="8" spans="1:16">
      <c r="A8" s="7" t="s">
        <v>13</v>
      </c>
      <c r="B8" s="8">
        <v>10718916</v>
      </c>
      <c r="C8" s="9">
        <f>[7]Vote_0001!$G$12*-1</f>
        <v>9620232.1400000006</v>
      </c>
      <c r="D8" s="9">
        <f>'[1]201908_LP_Payment_Summary_20200'!$C$19*-1</f>
        <v>6875407.6900000004</v>
      </c>
      <c r="E8" s="11">
        <f t="shared" si="0"/>
        <v>0.10249953073613036</v>
      </c>
      <c r="F8" s="12">
        <f t="shared" si="1"/>
        <v>0.71468209809747896</v>
      </c>
      <c r="G8" s="8">
        <v>10718916</v>
      </c>
      <c r="H8" s="16">
        <f>[7]Vote_0001!$G$19*-1</f>
        <v>9565777.5299999993</v>
      </c>
      <c r="I8" s="9">
        <f>'[2]201909_LP_Payment_Summary_20200'!$C$19*-1</f>
        <v>9112129.25</v>
      </c>
      <c r="J8" s="11">
        <f t="shared" si="2"/>
        <v>0.10757976552852926</v>
      </c>
      <c r="K8" s="12">
        <f t="shared" si="3"/>
        <v>0.95257591151610244</v>
      </c>
      <c r="L8" s="8">
        <v>10718916</v>
      </c>
      <c r="M8" s="16">
        <f>[7]Vote_0001!$G$26*-1</f>
        <v>10036201.1</v>
      </c>
      <c r="N8" s="9">
        <f>'[4]201910_LP_Payment_Summary_20200'!$C$19*-1</f>
        <v>9158676.6699999999</v>
      </c>
      <c r="O8" s="11">
        <f t="shared" si="4"/>
        <v>6.3692531968717769E-2</v>
      </c>
      <c r="P8" s="12">
        <f t="shared" si="5"/>
        <v>0.91256408463158434</v>
      </c>
    </row>
    <row r="9" spans="1:16">
      <c r="A9" s="7" t="s">
        <v>14</v>
      </c>
      <c r="B9" s="8">
        <v>7066666</v>
      </c>
      <c r="C9" s="9">
        <f>[8]Vote_0003!$F$11*-1</f>
        <v>8699083.2100000009</v>
      </c>
      <c r="D9" s="9">
        <f>'[1]201908_LP_Payment_Summary_20200'!$C$8*-1</f>
        <v>1418888.23</v>
      </c>
      <c r="E9" s="11">
        <f t="shared" si="0"/>
        <v>-0.23100245717004325</v>
      </c>
      <c r="F9" s="12">
        <f t="shared" si="1"/>
        <v>0.16310778914827737</v>
      </c>
      <c r="G9" s="8">
        <v>7066666</v>
      </c>
      <c r="H9" s="16">
        <f>[8]Vote_0003!$F$15*-1</f>
        <v>9078608.7200000007</v>
      </c>
      <c r="I9" s="9">
        <f>'[2]201909_LP_Payment_Summary_20200'!$C$8*-1</f>
        <v>1928739.53</v>
      </c>
      <c r="J9" s="11">
        <f t="shared" si="2"/>
        <v>-0.28470890233102863</v>
      </c>
      <c r="K9" s="12">
        <f t="shared" si="3"/>
        <v>0.21244880019457429</v>
      </c>
      <c r="L9" s="8">
        <v>7066666</v>
      </c>
      <c r="M9" s="16">
        <f>[8]Vote_0003!$F$20*-1</f>
        <v>9113184.5299999993</v>
      </c>
      <c r="N9" s="9">
        <f>'[4]201910_LP_Payment_Summary_20200'!$C$8*-1</f>
        <v>3840760.1</v>
      </c>
      <c r="O9" s="11">
        <f t="shared" si="4"/>
        <v>-0.28960170609450048</v>
      </c>
      <c r="P9" s="12">
        <f t="shared" si="5"/>
        <v>0.42145093050145888</v>
      </c>
    </row>
    <row r="10" spans="1:16" s="23" customFormat="1" ht="15.75" thickBot="1">
      <c r="A10" s="17" t="s">
        <v>15</v>
      </c>
      <c r="B10" s="18">
        <f>SUM(B4:B9)</f>
        <v>194239248</v>
      </c>
      <c r="C10" s="19">
        <f>SUM(C4:C9)</f>
        <v>180624638.79999623</v>
      </c>
      <c r="D10" s="19">
        <f>SUM(D4:D9)</f>
        <v>134746207.84999999</v>
      </c>
      <c r="E10" s="20">
        <f t="shared" si="0"/>
        <v>7.0091957934288199E-2</v>
      </c>
      <c r="F10" s="21">
        <f t="shared" si="1"/>
        <v>0.7460012584396255</v>
      </c>
      <c r="G10" s="18">
        <f>SUM(G4:G9)</f>
        <v>194239248</v>
      </c>
      <c r="H10" s="22">
        <f>SUM(H4:H9)</f>
        <v>192324861.84999707</v>
      </c>
      <c r="I10" s="19">
        <f>SUM(I4:I9)</f>
        <v>158106041.32999998</v>
      </c>
      <c r="J10" s="20">
        <f t="shared" si="2"/>
        <v>9.8558152881796923E-3</v>
      </c>
      <c r="K10" s="21">
        <f t="shared" si="3"/>
        <v>0.82207801845875805</v>
      </c>
      <c r="L10" s="18">
        <f>SUM(L4:L9)</f>
        <v>194239248</v>
      </c>
      <c r="M10" s="22">
        <f>SUM(M4:M9)</f>
        <v>192254874.51999706</v>
      </c>
      <c r="N10" s="19">
        <f>SUM(N4:N9)</f>
        <v>199136206.31999999</v>
      </c>
      <c r="O10" s="20">
        <f t="shared" si="4"/>
        <v>1.0216130367241432E-2</v>
      </c>
      <c r="P10" s="21">
        <f t="shared" si="5"/>
        <v>1.0357927559297706</v>
      </c>
    </row>
    <row r="11" spans="1:16" ht="15.75" thickTop="1"/>
    <row r="12" spans="1:16">
      <c r="E12" s="24"/>
      <c r="F12" s="24"/>
    </row>
    <row r="13" spans="1:16" ht="15" customHeight="1">
      <c r="A13" s="2"/>
      <c r="B13" s="28" t="s">
        <v>16</v>
      </c>
      <c r="C13" s="29"/>
      <c r="D13" s="29"/>
      <c r="E13" s="29"/>
      <c r="F13" s="32"/>
      <c r="G13" s="28" t="s">
        <v>17</v>
      </c>
      <c r="H13" s="29"/>
      <c r="I13" s="29"/>
      <c r="J13" s="29"/>
      <c r="K13" s="30"/>
      <c r="L13" s="28" t="s">
        <v>18</v>
      </c>
      <c r="M13" s="31"/>
      <c r="N13" s="31"/>
      <c r="O13" s="31"/>
      <c r="P13" s="30"/>
    </row>
    <row r="14" spans="1:16">
      <c r="A14" s="3" t="s">
        <v>3</v>
      </c>
      <c r="B14" s="4" t="s">
        <v>4</v>
      </c>
      <c r="C14" s="5" t="s">
        <v>5</v>
      </c>
      <c r="D14" s="5" t="s">
        <v>6</v>
      </c>
      <c r="E14" s="6" t="s">
        <v>7</v>
      </c>
      <c r="F14" s="6" t="s">
        <v>8</v>
      </c>
      <c r="G14" s="4" t="s">
        <v>4</v>
      </c>
      <c r="H14" s="5" t="s">
        <v>5</v>
      </c>
      <c r="I14" s="5" t="s">
        <v>6</v>
      </c>
      <c r="J14" s="6" t="s">
        <v>7</v>
      </c>
      <c r="K14" s="6" t="s">
        <v>8</v>
      </c>
      <c r="L14" s="4" t="s">
        <v>4</v>
      </c>
      <c r="M14" s="5" t="s">
        <v>5</v>
      </c>
      <c r="N14" s="5" t="s">
        <v>6</v>
      </c>
      <c r="O14" s="6" t="s">
        <v>7</v>
      </c>
      <c r="P14" s="6" t="s">
        <v>8</v>
      </c>
    </row>
    <row r="15" spans="1:16">
      <c r="A15" s="7" t="s">
        <v>9</v>
      </c>
      <c r="B15" s="8">
        <v>40000000</v>
      </c>
      <c r="C15" s="13">
        <f>'[9]ASSESSMENT RATES'!$C$71592</f>
        <v>41648679.259996548</v>
      </c>
      <c r="D15" s="10">
        <f>'[10]201911_LP_Payment_Summary_20200'!$C$16*-1</f>
        <v>42651624.149999999</v>
      </c>
      <c r="E15" s="11">
        <f>(B15-C15)/B15</f>
        <v>-4.1216981499913707E-2</v>
      </c>
      <c r="F15" s="25">
        <f>D15/C15</f>
        <v>1.0240810731054029</v>
      </c>
      <c r="G15" s="8">
        <v>40000000</v>
      </c>
      <c r="H15" s="13">
        <v>42865130.340000004</v>
      </c>
      <c r="I15" s="10">
        <f>'[11]201912_LP_Payment_Summary_20200'!$C$16*-1</f>
        <v>29970069.960000001</v>
      </c>
      <c r="J15" s="11">
        <f>(G15-H15)/G15</f>
        <v>-7.1628258500000083E-2</v>
      </c>
      <c r="K15" s="12">
        <f>I15/H15</f>
        <v>0.69917132462404163</v>
      </c>
      <c r="L15" s="8">
        <v>40000000</v>
      </c>
      <c r="M15" s="13">
        <v>42090506.840000004</v>
      </c>
      <c r="N15" s="10">
        <f>'[12]202001_LP_Payment_Summary_20200'!$C$16*-1</f>
        <v>29177830.73</v>
      </c>
      <c r="O15" s="11">
        <f>(L15-M15)/L15</f>
        <v>-5.2262671000000087E-2</v>
      </c>
      <c r="P15" s="12">
        <f>N15/M15</f>
        <v>0.69321642623393975</v>
      </c>
    </row>
    <row r="16" spans="1:16">
      <c r="A16" s="7" t="s">
        <v>10</v>
      </c>
      <c r="B16" s="8">
        <v>99402500</v>
      </c>
      <c r="C16" s="14">
        <v>88021066.879999995</v>
      </c>
      <c r="D16" s="14">
        <f>-96909084.62*-1</f>
        <v>96909084.620000005</v>
      </c>
      <c r="E16" s="11">
        <f t="shared" ref="E16:E21" si="6">(B16-C16)/B16</f>
        <v>0.11449845949548558</v>
      </c>
      <c r="F16" s="25">
        <f t="shared" ref="F16:F21" si="7">D16/C16</f>
        <v>1.1009760282969205</v>
      </c>
      <c r="G16" s="8">
        <v>99402500</v>
      </c>
      <c r="H16" s="15">
        <v>91112929.079999998</v>
      </c>
      <c r="I16" s="14">
        <v>82393656.010000005</v>
      </c>
      <c r="J16" s="11">
        <f t="shared" ref="J16:J21" si="8">(G16-H16)/G16</f>
        <v>8.3393988279972853E-2</v>
      </c>
      <c r="K16" s="12">
        <f t="shared" ref="K16:K21" si="9">I16/H16</f>
        <v>0.90430257090797506</v>
      </c>
      <c r="L16" s="8">
        <v>99402500</v>
      </c>
      <c r="M16" s="15">
        <v>86855893.099999994</v>
      </c>
      <c r="N16" s="14">
        <v>82799536.030000001</v>
      </c>
      <c r="O16" s="11">
        <f t="shared" ref="O16:O21" si="10">(L16-M16)/L16</f>
        <v>0.12622023490354875</v>
      </c>
      <c r="P16" s="12">
        <f>N16/M16</f>
        <v>0.95329784859468569</v>
      </c>
    </row>
    <row r="17" spans="1:16">
      <c r="A17" s="7" t="s">
        <v>11</v>
      </c>
      <c r="B17" s="8">
        <v>25903416</v>
      </c>
      <c r="C17" s="9">
        <f>[5]Vote!$G$34*-1</f>
        <v>23169044.710000001</v>
      </c>
      <c r="D17" s="9">
        <f>'[10]201911_LP_Payment_Summary_20200'!$C$20*-1</f>
        <v>21945824.420000002</v>
      </c>
      <c r="E17" s="11">
        <f t="shared" si="6"/>
        <v>0.10556025853887376</v>
      </c>
      <c r="F17" s="25">
        <f t="shared" si="7"/>
        <v>0.94720454359207806</v>
      </c>
      <c r="G17" s="8">
        <v>25903416</v>
      </c>
      <c r="H17" s="16">
        <f>[5]Vote!$G$42*-1</f>
        <v>29724443.059999999</v>
      </c>
      <c r="I17" s="9">
        <v>16381942.01</v>
      </c>
      <c r="J17" s="11">
        <f t="shared" si="8"/>
        <v>-0.14751054687150136</v>
      </c>
      <c r="K17" s="12">
        <f t="shared" si="9"/>
        <v>0.55112696230951685</v>
      </c>
      <c r="L17" s="8">
        <v>25903416</v>
      </c>
      <c r="M17" s="16">
        <v>25291025.550000001</v>
      </c>
      <c r="N17" s="9">
        <v>20914259.18</v>
      </c>
      <c r="O17" s="11">
        <f t="shared" si="10"/>
        <v>2.3641300823026557E-2</v>
      </c>
      <c r="P17" s="12">
        <f t="shared" ref="P17:P21" si="11">N17/M17</f>
        <v>0.82694389512409472</v>
      </c>
    </row>
    <row r="18" spans="1:16">
      <c r="A18" s="7" t="s">
        <v>12</v>
      </c>
      <c r="B18" s="8">
        <v>11147750</v>
      </c>
      <c r="C18" s="9">
        <f>[6]Vote_0002!$F$29*-1</f>
        <v>8608218.1799999997</v>
      </c>
      <c r="D18" s="9">
        <f>'[10]201911_LP_Payment_Summary_20200'!$C$17*-1</f>
        <v>9647116.8499999996</v>
      </c>
      <c r="E18" s="11">
        <f t="shared" si="6"/>
        <v>0.22780667130138371</v>
      </c>
      <c r="F18" s="25">
        <f t="shared" si="7"/>
        <v>1.1206868423030607</v>
      </c>
      <c r="G18" s="8">
        <v>11147750</v>
      </c>
      <c r="H18" s="16">
        <v>8524829.1099999994</v>
      </c>
      <c r="I18" s="9">
        <f>'[11]201912_LP_Payment_Summary_20200'!$C$17*-1</f>
        <v>7125070.96</v>
      </c>
      <c r="J18" s="11">
        <f t="shared" si="8"/>
        <v>0.23528702114776529</v>
      </c>
      <c r="K18" s="12">
        <f t="shared" si="9"/>
        <v>0.83580220413356776</v>
      </c>
      <c r="L18" s="8">
        <v>11147750</v>
      </c>
      <c r="M18" s="16">
        <v>8410313.6199999992</v>
      </c>
      <c r="N18" s="9">
        <f>'[12]202001_LP_Payment_Summary_20200'!$C$17*-1</f>
        <v>5961141.6500000004</v>
      </c>
      <c r="O18" s="11">
        <f t="shared" si="10"/>
        <v>0.24555954161153604</v>
      </c>
      <c r="P18" s="12">
        <f t="shared" si="11"/>
        <v>0.70878946010101351</v>
      </c>
    </row>
    <row r="19" spans="1:16">
      <c r="A19" s="7" t="s">
        <v>13</v>
      </c>
      <c r="B19" s="8">
        <v>10718916</v>
      </c>
      <c r="C19" s="9">
        <f>[7]Vote_0001!$G$30*-1</f>
        <v>8989662.7300000004</v>
      </c>
      <c r="D19" s="9">
        <f>'[10]201911_LP_Payment_Summary_20200'!$C$18*-1</f>
        <v>9198344.4700000007</v>
      </c>
      <c r="E19" s="11">
        <f t="shared" si="6"/>
        <v>0.16132725268114795</v>
      </c>
      <c r="F19" s="25">
        <f t="shared" si="7"/>
        <v>1.0232135227168861</v>
      </c>
      <c r="G19" s="8">
        <v>10718916</v>
      </c>
      <c r="H19" s="16">
        <f>[7]Vote_0001!$G$37*-1</f>
        <v>9478581.3599999994</v>
      </c>
      <c r="I19" s="9">
        <f>'[11]201912_LP_Payment_Summary_20200'!$C$18*-1</f>
        <v>7535834.1200000001</v>
      </c>
      <c r="J19" s="11">
        <f t="shared" si="8"/>
        <v>0.11571455919609787</v>
      </c>
      <c r="K19" s="12">
        <f t="shared" si="9"/>
        <v>0.79503818491251532</v>
      </c>
      <c r="L19" s="8">
        <v>10718916</v>
      </c>
      <c r="M19" s="16">
        <f>[7]Vote_0001!$G$41*-1</f>
        <v>9480591.2200000007</v>
      </c>
      <c r="N19" s="9">
        <f>'[12]202001_LP_Payment_Summary_20200'!$C$18*-1</f>
        <v>6362885.25</v>
      </c>
      <c r="O19" s="11">
        <f t="shared" si="10"/>
        <v>0.1155270532953145</v>
      </c>
      <c r="P19" s="12">
        <f t="shared" si="11"/>
        <v>0.67114857104871561</v>
      </c>
    </row>
    <row r="20" spans="1:16">
      <c r="A20" s="7" t="s">
        <v>14</v>
      </c>
      <c r="B20" s="8">
        <v>7066666</v>
      </c>
      <c r="C20" s="9">
        <f>[8]Vote_0003!$F$21*-1</f>
        <v>8615596.5500000007</v>
      </c>
      <c r="D20" s="9">
        <f>'[10]201911_LP_Payment_Summary_20200'!$C$8*-1</f>
        <v>4958825.99</v>
      </c>
      <c r="E20" s="11">
        <f t="shared" si="6"/>
        <v>-0.21918830605550069</v>
      </c>
      <c r="F20" s="25">
        <f t="shared" si="7"/>
        <v>0.57556385808246791</v>
      </c>
      <c r="G20" s="8">
        <v>7066666</v>
      </c>
      <c r="H20" s="16">
        <f>[8]Vote_0003!$F$24*-1</f>
        <v>8903856.9700000007</v>
      </c>
      <c r="I20" s="9">
        <f>'[11]201912_LP_Payment_Summary_20200'!$C$8*-1</f>
        <v>1418108.9</v>
      </c>
      <c r="J20" s="11">
        <f t="shared" si="8"/>
        <v>-0.25997987877168677</v>
      </c>
      <c r="K20" s="12">
        <f t="shared" si="9"/>
        <v>0.15926905663220686</v>
      </c>
      <c r="L20" s="8">
        <v>7066666</v>
      </c>
      <c r="M20" s="16">
        <v>9119141.9499999993</v>
      </c>
      <c r="N20" s="9">
        <f>'[12]202001_LP_Payment_Summary_20200'!$C$8*-1</f>
        <v>2242387.96</v>
      </c>
      <c r="O20" s="11">
        <f t="shared" si="10"/>
        <v>-0.2904447373061072</v>
      </c>
      <c r="P20" s="12">
        <f t="shared" si="11"/>
        <v>0.24589900807498671</v>
      </c>
    </row>
    <row r="21" spans="1:16" s="23" customFormat="1" ht="15.75" thickBot="1">
      <c r="A21" s="17" t="s">
        <v>15</v>
      </c>
      <c r="B21" s="18">
        <f>SUM(B15:B20)</f>
        <v>194239248</v>
      </c>
      <c r="C21" s="19">
        <f>SUM(C15:C20)</f>
        <v>179052268.30999655</v>
      </c>
      <c r="D21" s="19">
        <f>SUM(D15:D20)</f>
        <v>185310820.5</v>
      </c>
      <c r="E21" s="20">
        <f t="shared" si="6"/>
        <v>7.8186977381643569E-2</v>
      </c>
      <c r="F21" s="26">
        <f t="shared" si="7"/>
        <v>1.0349537721531006</v>
      </c>
      <c r="G21" s="18">
        <f>SUM(G15:G20)</f>
        <v>194239248</v>
      </c>
      <c r="H21" s="22">
        <f>SUM(H15:H20)</f>
        <v>190609769.91999999</v>
      </c>
      <c r="I21" s="19">
        <f>SUM(I15:I20)</f>
        <v>144824681.96000001</v>
      </c>
      <c r="J21" s="20">
        <f t="shared" si="8"/>
        <v>1.8685606113961136E-2</v>
      </c>
      <c r="K21" s="21">
        <f t="shared" si="9"/>
        <v>0.7597967408532299</v>
      </c>
      <c r="L21" s="18">
        <f>SUM(L15:L20)</f>
        <v>194239248</v>
      </c>
      <c r="M21" s="22">
        <f>SUM(M15:M20)</f>
        <v>181247472.28</v>
      </c>
      <c r="N21" s="19">
        <f>SUM(N15:N20)</f>
        <v>147458040.80000001</v>
      </c>
      <c r="O21" s="20">
        <f t="shared" si="10"/>
        <v>6.6885430487251471E-2</v>
      </c>
      <c r="P21" s="21">
        <f t="shared" si="11"/>
        <v>0.81357295053582646</v>
      </c>
    </row>
    <row r="22" spans="1:16" ht="15.75" thickTop="1"/>
    <row r="23" spans="1:16">
      <c r="M23" s="27"/>
      <c r="N23" s="27"/>
    </row>
    <row r="24" spans="1:16" ht="15" customHeight="1">
      <c r="B24" s="28" t="s">
        <v>19</v>
      </c>
      <c r="C24" s="29"/>
      <c r="D24" s="29"/>
      <c r="E24" s="29"/>
      <c r="F24" s="30"/>
      <c r="G24" s="28" t="s">
        <v>20</v>
      </c>
      <c r="H24" s="31"/>
      <c r="I24" s="31"/>
      <c r="J24" s="31"/>
      <c r="K24" s="30"/>
      <c r="L24" s="28" t="s">
        <v>21</v>
      </c>
      <c r="M24" s="31"/>
      <c r="N24" s="31"/>
      <c r="O24" s="31"/>
      <c r="P24" s="30"/>
    </row>
    <row r="25" spans="1:16">
      <c r="A25" s="3" t="s">
        <v>3</v>
      </c>
      <c r="B25" s="4" t="s">
        <v>4</v>
      </c>
      <c r="C25" s="5" t="s">
        <v>5</v>
      </c>
      <c r="D25" s="5" t="s">
        <v>6</v>
      </c>
      <c r="E25" s="6" t="s">
        <v>7</v>
      </c>
      <c r="F25" s="6" t="s">
        <v>8</v>
      </c>
      <c r="G25" s="4" t="s">
        <v>4</v>
      </c>
      <c r="H25" s="5" t="s">
        <v>5</v>
      </c>
      <c r="I25" s="5" t="s">
        <v>6</v>
      </c>
      <c r="J25" s="6" t="s">
        <v>7</v>
      </c>
      <c r="K25" s="6" t="s">
        <v>8</v>
      </c>
      <c r="L25" s="4" t="s">
        <v>4</v>
      </c>
      <c r="M25" s="5" t="s">
        <v>5</v>
      </c>
      <c r="N25" s="5" t="s">
        <v>6</v>
      </c>
      <c r="O25" s="6" t="s">
        <v>7</v>
      </c>
      <c r="P25" s="6" t="s">
        <v>8</v>
      </c>
    </row>
    <row r="26" spans="1:16">
      <c r="A26" s="7" t="s">
        <v>9</v>
      </c>
      <c r="B26" s="8">
        <v>40000000</v>
      </c>
      <c r="C26" s="13">
        <v>42915314.640000001</v>
      </c>
      <c r="D26" s="10">
        <f>'[13]202002_LP_Payment_Summary_20200'!$C$16*-1</f>
        <v>32947092.219999999</v>
      </c>
      <c r="E26" s="11">
        <f>(B26-C26)/B26</f>
        <v>-7.2882866000000018E-2</v>
      </c>
      <c r="F26" s="25">
        <f>D26/C26</f>
        <v>0.76772342219509349</v>
      </c>
      <c r="G26" s="8">
        <v>40000000</v>
      </c>
      <c r="H26" s="13">
        <v>42435479.93</v>
      </c>
      <c r="I26" s="10">
        <f>'[14]202003_LP_Payment_Summary_20200'!$C$16*-1</f>
        <v>30162469.460000001</v>
      </c>
      <c r="J26" s="11">
        <f>(G26-H26)/G26</f>
        <v>-6.0886998249999991E-2</v>
      </c>
      <c r="K26" s="12">
        <f>I26/H26</f>
        <v>0.71078421900152644</v>
      </c>
      <c r="L26" s="8">
        <v>40000000</v>
      </c>
      <c r="M26" s="13">
        <v>42601559.509999998</v>
      </c>
      <c r="N26" s="10">
        <f>'[15]202004_LP_Payment_Summary_20200'!$C$16*-1</f>
        <v>22454938.109999999</v>
      </c>
      <c r="O26" s="11">
        <f>(L26-M26)/L26</f>
        <v>-6.5038987749999944E-2</v>
      </c>
      <c r="P26" s="12">
        <f>N26/M26</f>
        <v>0.5270919273443283</v>
      </c>
    </row>
    <row r="27" spans="1:16">
      <c r="A27" s="7" t="s">
        <v>10</v>
      </c>
      <c r="B27" s="8">
        <v>99402500</v>
      </c>
      <c r="C27" s="15">
        <v>87507717.780000001</v>
      </c>
      <c r="D27" s="14">
        <v>84576988</v>
      </c>
      <c r="E27" s="11">
        <f t="shared" ref="E27:E32" si="12">(B27-C27)/B27</f>
        <v>0.11966280747466108</v>
      </c>
      <c r="F27" s="25">
        <f t="shared" ref="F27:F32" si="13">D27/C27</f>
        <v>0.96650889939367357</v>
      </c>
      <c r="G27" s="8">
        <v>99402500</v>
      </c>
      <c r="H27" s="15">
        <v>84492053.530000001</v>
      </c>
      <c r="I27" s="14">
        <v>84781759.060000002</v>
      </c>
      <c r="J27" s="11">
        <f t="shared" ref="J27:J32" si="14">(G27-H27)/G27</f>
        <v>0.15000071899600109</v>
      </c>
      <c r="K27" s="12">
        <f>I27/H27</f>
        <v>1.0034287902577388</v>
      </c>
      <c r="L27" s="8">
        <v>99402500</v>
      </c>
      <c r="M27" s="15">
        <v>88646952.290000007</v>
      </c>
      <c r="N27" s="14">
        <v>76862504.040000007</v>
      </c>
      <c r="O27" s="11">
        <f t="shared" ref="O27:O32" si="15">(L27-M27)/L27</f>
        <v>0.10820198395412584</v>
      </c>
      <c r="P27" s="12">
        <f>N27/M27</f>
        <v>0.86706313138156954</v>
      </c>
    </row>
    <row r="28" spans="1:16">
      <c r="A28" s="7" t="s">
        <v>11</v>
      </c>
      <c r="B28" s="8">
        <v>25903416</v>
      </c>
      <c r="C28" s="16">
        <v>21736459.879999999</v>
      </c>
      <c r="D28" s="9">
        <v>28505508</v>
      </c>
      <c r="E28" s="11">
        <f t="shared" si="12"/>
        <v>0.16086511987453705</v>
      </c>
      <c r="F28" s="25">
        <f t="shared" si="13"/>
        <v>1.3114144693924281</v>
      </c>
      <c r="G28" s="8">
        <v>25903416</v>
      </c>
      <c r="H28" s="16">
        <v>17084236.289999999</v>
      </c>
      <c r="I28" s="9">
        <v>17780192.550000001</v>
      </c>
      <c r="J28" s="11">
        <f t="shared" si="14"/>
        <v>0.34046396467554707</v>
      </c>
      <c r="K28" s="12">
        <f t="shared" ref="K28:K32" si="16">I28/H28</f>
        <v>1.0407367498427407</v>
      </c>
      <c r="L28" s="8">
        <v>25903416</v>
      </c>
      <c r="M28" s="16">
        <v>23021573.18</v>
      </c>
      <c r="N28" s="9">
        <v>13780575.27</v>
      </c>
      <c r="O28" s="11">
        <f t="shared" si="15"/>
        <v>0.11125338912829104</v>
      </c>
      <c r="P28" s="12">
        <f t="shared" ref="P28:P32" si="17">N28/M28</f>
        <v>0.59859398670338826</v>
      </c>
    </row>
    <row r="29" spans="1:16">
      <c r="A29" s="7" t="s">
        <v>12</v>
      </c>
      <c r="B29" s="8">
        <v>11147750</v>
      </c>
      <c r="C29" s="16">
        <v>8462697.4299999997</v>
      </c>
      <c r="D29" s="9">
        <f>'[13]202002_LP_Payment_Summary_20200'!$C$17*-1</f>
        <v>7251998</v>
      </c>
      <c r="E29" s="11">
        <f t="shared" si="12"/>
        <v>0.24086049382162322</v>
      </c>
      <c r="F29" s="25">
        <f t="shared" si="13"/>
        <v>0.8569369352958186</v>
      </c>
      <c r="G29" s="8">
        <v>11147750</v>
      </c>
      <c r="H29" s="16">
        <v>8437459.3100000005</v>
      </c>
      <c r="I29" s="9">
        <f>'[14]202003_LP_Payment_Summary_20200'!$C$17*-1</f>
        <v>7221539.4800000004</v>
      </c>
      <c r="J29" s="11">
        <f t="shared" si="14"/>
        <v>0.24312445919580181</v>
      </c>
      <c r="K29" s="12">
        <f t="shared" si="16"/>
        <v>0.85589028813935697</v>
      </c>
      <c r="L29" s="8">
        <v>11147750</v>
      </c>
      <c r="M29" s="16">
        <v>8469268.1199999992</v>
      </c>
      <c r="N29" s="9">
        <f>'[15]202004_LP_Payment_Summary_20200'!$C$17*-1</f>
        <v>5141734.53</v>
      </c>
      <c r="O29" s="11">
        <f t="shared" si="15"/>
        <v>0.24027107532910236</v>
      </c>
      <c r="P29" s="12">
        <f t="shared" si="17"/>
        <v>0.60710494190848696</v>
      </c>
    </row>
    <row r="30" spans="1:16">
      <c r="A30" s="7" t="s">
        <v>13</v>
      </c>
      <c r="B30" s="8">
        <v>10718916</v>
      </c>
      <c r="C30" s="16">
        <v>9437092.1099999994</v>
      </c>
      <c r="D30" s="9">
        <f>'[13]202002_LP_Payment_Summary_20200'!$C$18*-1</f>
        <v>7481413.71</v>
      </c>
      <c r="E30" s="11">
        <f t="shared" si="12"/>
        <v>0.11958521645285779</v>
      </c>
      <c r="F30" s="25">
        <f t="shared" si="13"/>
        <v>0.79276684203096126</v>
      </c>
      <c r="G30" s="8">
        <v>10718916</v>
      </c>
      <c r="H30" s="16">
        <v>10964597.449999999</v>
      </c>
      <c r="I30" s="9">
        <f>'[14]202003_LP_Payment_Summary_20200'!$C$18*-1</f>
        <v>7758824.9000000004</v>
      </c>
      <c r="J30" s="11">
        <f t="shared" si="14"/>
        <v>-2.2920363402418608E-2</v>
      </c>
      <c r="K30" s="12">
        <f t="shared" si="16"/>
        <v>0.70762514860953707</v>
      </c>
      <c r="L30" s="8">
        <v>10718916</v>
      </c>
      <c r="M30" s="16">
        <v>9585418.8200000003</v>
      </c>
      <c r="N30" s="9">
        <f>'[15]202004_LP_Payment_Summary_20200'!$C$18*-1</f>
        <v>5580247.8200000003</v>
      </c>
      <c r="O30" s="11">
        <f t="shared" si="15"/>
        <v>0.10574737034976295</v>
      </c>
      <c r="P30" s="12">
        <f t="shared" si="17"/>
        <v>0.58216004170384283</v>
      </c>
    </row>
    <row r="31" spans="1:16">
      <c r="A31" s="7" t="s">
        <v>14</v>
      </c>
      <c r="B31" s="8">
        <v>7066666</v>
      </c>
      <c r="C31" s="16">
        <v>9261633.2100000009</v>
      </c>
      <c r="D31" s="9">
        <f>'[13]202002_LP_Payment_Summary_20200'!$C$8*-1</f>
        <v>2506207.65</v>
      </c>
      <c r="E31" s="11">
        <f t="shared" si="12"/>
        <v>-0.3106085967555281</v>
      </c>
      <c r="F31" s="25">
        <f t="shared" si="13"/>
        <v>0.2706010476957767</v>
      </c>
      <c r="G31" s="8">
        <v>7066666</v>
      </c>
      <c r="H31" s="16">
        <v>9277028.7100000009</v>
      </c>
      <c r="I31" s="9">
        <f>'[14]202003_LP_Payment_Summary_20200'!$C$8*-1</f>
        <v>1154816.19</v>
      </c>
      <c r="J31" s="11">
        <f t="shared" si="14"/>
        <v>-0.31278720545162331</v>
      </c>
      <c r="K31" s="12">
        <f t="shared" si="16"/>
        <v>0.12448125645608785</v>
      </c>
      <c r="L31" s="8">
        <v>7066666</v>
      </c>
      <c r="M31" s="16">
        <v>9318292.6600000001</v>
      </c>
      <c r="N31" s="9">
        <f>'[15]202004_LP_Payment_Summary_20200'!$C$8*-1</f>
        <v>636685.14</v>
      </c>
      <c r="O31" s="11">
        <f t="shared" si="15"/>
        <v>-0.31862644421004194</v>
      </c>
      <c r="P31" s="12">
        <f t="shared" si="17"/>
        <v>6.8326372998892271E-2</v>
      </c>
    </row>
    <row r="32" spans="1:16" s="23" customFormat="1" ht="15.75" thickBot="1">
      <c r="A32" s="17" t="s">
        <v>15</v>
      </c>
      <c r="B32" s="18">
        <f>SUM(B26:B31)</f>
        <v>194239248</v>
      </c>
      <c r="C32" s="22">
        <f>SUM(C26:C31)</f>
        <v>179320915.05000004</v>
      </c>
      <c r="D32" s="19">
        <f>SUM(D26:D31)</f>
        <v>163269207.58000001</v>
      </c>
      <c r="E32" s="20">
        <f t="shared" si="12"/>
        <v>7.6803906026242222E-2</v>
      </c>
      <c r="F32" s="26">
        <f t="shared" si="13"/>
        <v>0.91048613896753572</v>
      </c>
      <c r="G32" s="18">
        <f>SUM(G26:G31)</f>
        <v>194239248</v>
      </c>
      <c r="H32" s="22">
        <f>SUM(H26:H31)</f>
        <v>172690855.22</v>
      </c>
      <c r="I32" s="19">
        <f>SUM(I26:I31)</f>
        <v>148859601.64000002</v>
      </c>
      <c r="J32" s="20">
        <f t="shared" si="14"/>
        <v>0.11093737749643677</v>
      </c>
      <c r="K32" s="21">
        <f t="shared" si="16"/>
        <v>0.86200048896833537</v>
      </c>
      <c r="L32" s="18">
        <f>SUM(L26:L31)</f>
        <v>194239248</v>
      </c>
      <c r="M32" s="22">
        <f>SUM(M26:M31)</f>
        <v>181643064.58000001</v>
      </c>
      <c r="N32" s="19">
        <f>SUM(N26:N31)</f>
        <v>124456684.91000001</v>
      </c>
      <c r="O32" s="20">
        <f t="shared" si="15"/>
        <v>6.4848806560453665E-2</v>
      </c>
      <c r="P32" s="21">
        <f t="shared" si="17"/>
        <v>0.68517168655886818</v>
      </c>
    </row>
    <row r="33" spans="1:16" ht="15.75" thickTop="1"/>
    <row r="35" spans="1:16">
      <c r="B35" s="28" t="s">
        <v>22</v>
      </c>
      <c r="C35" s="29"/>
      <c r="D35" s="29"/>
      <c r="E35" s="29"/>
      <c r="F35" s="30"/>
      <c r="G35" s="28" t="s">
        <v>23</v>
      </c>
      <c r="H35" s="31"/>
      <c r="I35" s="31"/>
      <c r="J35" s="31"/>
      <c r="K35" s="30"/>
      <c r="L35" s="28" t="s">
        <v>24</v>
      </c>
      <c r="M35" s="31"/>
      <c r="N35" s="31"/>
      <c r="O35" s="31"/>
      <c r="P35" s="30"/>
    </row>
    <row r="36" spans="1:16">
      <c r="A36" s="3" t="s">
        <v>3</v>
      </c>
      <c r="B36" s="4" t="s">
        <v>4</v>
      </c>
      <c r="C36" s="5" t="s">
        <v>5</v>
      </c>
      <c r="D36" s="5" t="s">
        <v>6</v>
      </c>
      <c r="E36" s="6" t="s">
        <v>7</v>
      </c>
      <c r="F36" s="6" t="s">
        <v>8</v>
      </c>
      <c r="G36" s="4" t="s">
        <v>4</v>
      </c>
      <c r="H36" s="5" t="s">
        <v>5</v>
      </c>
      <c r="I36" s="5" t="s">
        <v>6</v>
      </c>
      <c r="J36" s="6" t="s">
        <v>7</v>
      </c>
      <c r="K36" s="6" t="s">
        <v>8</v>
      </c>
      <c r="L36" s="4" t="s">
        <v>4</v>
      </c>
      <c r="M36" s="5" t="s">
        <v>5</v>
      </c>
      <c r="N36" s="5" t="s">
        <v>6</v>
      </c>
      <c r="O36" s="6" t="s">
        <v>7</v>
      </c>
      <c r="P36" s="6" t="s">
        <v>8</v>
      </c>
    </row>
    <row r="37" spans="1:16">
      <c r="A37" s="7" t="s">
        <v>9</v>
      </c>
      <c r="B37" s="8">
        <v>40000000</v>
      </c>
      <c r="C37" s="13">
        <f>[16]Sheet1!$C$71966</f>
        <v>43422256.649997145</v>
      </c>
      <c r="D37" s="10">
        <f>'[17]202005_LP_Payment_Summary_20200'!$C$16*-1-5000000+860580</f>
        <v>21369247.829999998</v>
      </c>
      <c r="E37" s="11">
        <f>(B37-C37)/B37</f>
        <v>-8.555641624992863E-2</v>
      </c>
      <c r="F37" s="25">
        <f>D37/C37</f>
        <v>0.49212660692063326</v>
      </c>
      <c r="G37" s="8">
        <v>40000000</v>
      </c>
      <c r="H37" s="13">
        <v>43360893.130000003</v>
      </c>
      <c r="I37" s="10">
        <f>'[18]202005_LP_Payment_Summary_20200'!$C$16*-1</f>
        <v>25732831.399999999</v>
      </c>
      <c r="J37" s="11">
        <f>(G37-H37)/G37</f>
        <v>-8.402232825000007E-2</v>
      </c>
      <c r="K37" s="12">
        <f>I37/H37</f>
        <v>0.59345713481617113</v>
      </c>
      <c r="L37" s="8">
        <v>40000000</v>
      </c>
      <c r="M37" s="13">
        <v>35025533.359999999</v>
      </c>
      <c r="N37" s="10">
        <f>'[19]202007_LP_Payment_Summary_20200'!$C$16*-1</f>
        <v>48905794.189999998</v>
      </c>
      <c r="O37" s="11">
        <f>(L37-M37)/L37</f>
        <v>0.12436166600000001</v>
      </c>
      <c r="P37" s="12">
        <f>N37/M37</f>
        <v>1.396289777726885</v>
      </c>
    </row>
    <row r="38" spans="1:16">
      <c r="A38" s="7" t="s">
        <v>10</v>
      </c>
      <c r="B38" s="8">
        <v>99402500</v>
      </c>
      <c r="C38" s="15">
        <v>80317536.739999995</v>
      </c>
      <c r="D38" s="14">
        <f>71631181.13-5000000+1</f>
        <v>66631182.129999995</v>
      </c>
      <c r="E38" s="11">
        <f t="shared" ref="E38:E43" si="18">(B38-C38)/B38</f>
        <v>0.19199681356102719</v>
      </c>
      <c r="F38" s="25">
        <f t="shared" ref="F38:F43" si="19">D38/C38</f>
        <v>0.82959693280553659</v>
      </c>
      <c r="G38" s="8">
        <v>99402500</v>
      </c>
      <c r="H38" s="15">
        <v>77344182.239999995</v>
      </c>
      <c r="I38" s="14">
        <v>78463695.670000002</v>
      </c>
      <c r="J38" s="11">
        <f t="shared" ref="J38:J43" si="20">(G38-H38)/G38</f>
        <v>0.22190908437916557</v>
      </c>
      <c r="K38" s="12">
        <f>I38/H38</f>
        <v>1.0144744361835276</v>
      </c>
      <c r="L38" s="8">
        <v>99402500</v>
      </c>
      <c r="M38" s="15">
        <v>83834814.719999999</v>
      </c>
      <c r="N38" s="14">
        <v>85814420.439999998</v>
      </c>
      <c r="O38" s="11">
        <f t="shared" ref="O38:O43" si="21">(L38-M38)/L38</f>
        <v>0.15661261316365283</v>
      </c>
      <c r="P38" s="12">
        <f>N38/M38</f>
        <v>1.023613169858032</v>
      </c>
    </row>
    <row r="39" spans="1:16">
      <c r="A39" s="7" t="s">
        <v>11</v>
      </c>
      <c r="B39" s="8">
        <v>25903416</v>
      </c>
      <c r="C39" s="16">
        <v>21212198.690000001</v>
      </c>
      <c r="D39" s="9">
        <f>12328390.43-1000000</f>
        <v>11328390.43</v>
      </c>
      <c r="E39" s="11">
        <f t="shared" si="18"/>
        <v>0.18110419529223476</v>
      </c>
      <c r="F39" s="25">
        <f t="shared" si="19"/>
        <v>0.53405074106440964</v>
      </c>
      <c r="G39" s="8">
        <v>25903416</v>
      </c>
      <c r="H39" s="16">
        <v>20840593.420000002</v>
      </c>
      <c r="I39" s="9">
        <v>12525020.460000001</v>
      </c>
      <c r="J39" s="11">
        <f t="shared" si="20"/>
        <v>0.19544999701969804</v>
      </c>
      <c r="K39" s="12">
        <f t="shared" ref="K39:K43" si="22">I39/H39</f>
        <v>0.6009915460459091</v>
      </c>
      <c r="L39" s="8">
        <v>25903416</v>
      </c>
      <c r="M39" s="16">
        <v>14838735.960000001</v>
      </c>
      <c r="N39" s="9">
        <v>14954929.640000001</v>
      </c>
      <c r="O39" s="11">
        <f t="shared" si="21"/>
        <v>0.42715138574773298</v>
      </c>
      <c r="P39" s="12">
        <f t="shared" ref="P39:P43" si="23">N39/M39</f>
        <v>1.0078304297827805</v>
      </c>
    </row>
    <row r="40" spans="1:16">
      <c r="A40" s="7" t="s">
        <v>12</v>
      </c>
      <c r="B40" s="8">
        <v>11147750</v>
      </c>
      <c r="C40" s="16">
        <f>[20]Vote_20200501111724!$K$121548*-1</f>
        <v>8392421.7600003928</v>
      </c>
      <c r="D40" s="9">
        <f>'[17]202005_LP_Payment_Summary_20200'!$C$17*-1</f>
        <v>6132302.2599999998</v>
      </c>
      <c r="E40" s="11">
        <f t="shared" si="18"/>
        <v>0.24716451660645486</v>
      </c>
      <c r="F40" s="25">
        <f t="shared" si="19"/>
        <v>0.73069519566181962</v>
      </c>
      <c r="G40" s="8">
        <v>11147750</v>
      </c>
      <c r="H40" s="16">
        <v>8432130.4700000007</v>
      </c>
      <c r="I40" s="9">
        <f>'[18]202005_LP_Payment_Summary_20200'!$C$17*-1</f>
        <v>6181368.9400000004</v>
      </c>
      <c r="J40" s="11">
        <f t="shared" si="20"/>
        <v>0.24360247852705696</v>
      </c>
      <c r="K40" s="12">
        <f t="shared" si="22"/>
        <v>0.73307320872135417</v>
      </c>
      <c r="L40" s="8">
        <v>11147750</v>
      </c>
      <c r="M40" s="16">
        <v>9134507.0399999991</v>
      </c>
      <c r="N40" s="9">
        <f>'[19]202007_LP_Payment_Summary_20200'!$C$17*-1</f>
        <v>8022659.1500000004</v>
      </c>
      <c r="O40" s="11">
        <f t="shared" si="21"/>
        <v>0.18059634993608584</v>
      </c>
      <c r="P40" s="12">
        <f t="shared" si="23"/>
        <v>0.87828047149876642</v>
      </c>
    </row>
    <row r="41" spans="1:16">
      <c r="A41" s="7" t="s">
        <v>13</v>
      </c>
      <c r="B41" s="8">
        <v>10718916</v>
      </c>
      <c r="C41" s="16">
        <f>[21]Vote_20200501110923!$K$135442*-1</f>
        <v>9378268.6799962651</v>
      </c>
      <c r="D41" s="9">
        <f>'[17]202005_LP_Payment_Summary_20200'!$C$18*-1</f>
        <v>6547263.29</v>
      </c>
      <c r="E41" s="11">
        <f t="shared" si="18"/>
        <v>0.12507303163899547</v>
      </c>
      <c r="F41" s="25">
        <f t="shared" si="19"/>
        <v>0.69813134101875696</v>
      </c>
      <c r="G41" s="8">
        <v>10718916</v>
      </c>
      <c r="H41" s="16">
        <v>9699565.0500000007</v>
      </c>
      <c r="I41" s="9">
        <f>'[18]202005_LP_Payment_Summary_20200'!$C$18*-1</f>
        <v>6597564.0899999999</v>
      </c>
      <c r="J41" s="11">
        <f t="shared" si="20"/>
        <v>9.5098324308166907E-2</v>
      </c>
      <c r="K41" s="12">
        <f t="shared" si="22"/>
        <v>0.68019174632990365</v>
      </c>
      <c r="L41" s="8">
        <v>10718916</v>
      </c>
      <c r="M41" s="16">
        <v>9634053.0500000007</v>
      </c>
      <c r="N41" s="9">
        <f>'[19]202007_LP_Payment_Summary_20200'!$C$18*-1</f>
        <v>7751369.3600000003</v>
      </c>
      <c r="O41" s="11">
        <f t="shared" si="21"/>
        <v>0.10121013636080357</v>
      </c>
      <c r="P41" s="12">
        <f t="shared" si="23"/>
        <v>0.8045803069353038</v>
      </c>
    </row>
    <row r="42" spans="1:16">
      <c r="A42" s="7" t="s">
        <v>14</v>
      </c>
      <c r="B42" s="8">
        <v>7066666</v>
      </c>
      <c r="C42" s="16">
        <f>[22]Vote_20200501111316!$K$204509*-1</f>
        <v>9894241.6499993838</v>
      </c>
      <c r="D42" s="9">
        <f>'[17]202005_LP_Payment_Summary_20200'!$C$8*-1</f>
        <v>861557.99</v>
      </c>
      <c r="E42" s="11">
        <f t="shared" si="18"/>
        <v>-0.40012866746488146</v>
      </c>
      <c r="F42" s="25">
        <f t="shared" si="19"/>
        <v>8.7076707895046568E-2</v>
      </c>
      <c r="G42" s="8">
        <v>7066666</v>
      </c>
      <c r="H42" s="16">
        <v>10228322.76</v>
      </c>
      <c r="I42" s="9">
        <f>'[18]202005_LP_Payment_Summary_20200'!$C$8*-1</f>
        <v>856582.02</v>
      </c>
      <c r="J42" s="11">
        <f t="shared" si="20"/>
        <v>-0.44740430069851889</v>
      </c>
      <c r="K42" s="12">
        <f t="shared" si="22"/>
        <v>8.3746088200290628E-2</v>
      </c>
      <c r="L42" s="8">
        <v>7066666</v>
      </c>
      <c r="M42" s="16">
        <v>9958664.3900000006</v>
      </c>
      <c r="N42" s="9">
        <f>'[19]202007_LP_Payment_Summary_20200'!$C$8*-1</f>
        <v>4896271.88</v>
      </c>
      <c r="O42" s="11">
        <f t="shared" si="21"/>
        <v>-0.40924509379670704</v>
      </c>
      <c r="P42" s="12">
        <f t="shared" si="23"/>
        <v>0.49165949250349217</v>
      </c>
    </row>
    <row r="43" spans="1:16" ht="15.75" thickBot="1">
      <c r="A43" s="17" t="s">
        <v>15</v>
      </c>
      <c r="B43" s="18">
        <f>SUM(B37:B42)</f>
        <v>194239248</v>
      </c>
      <c r="C43" s="22">
        <f>SUM(C37:C42)</f>
        <v>172616924.16999316</v>
      </c>
      <c r="D43" s="19">
        <f>SUM(D37:D42)</f>
        <v>112869943.92999999</v>
      </c>
      <c r="E43" s="20">
        <f t="shared" si="18"/>
        <v>0.11131799599021737</v>
      </c>
      <c r="F43" s="26">
        <f t="shared" si="19"/>
        <v>0.65387530494313328</v>
      </c>
      <c r="G43" s="18">
        <f>SUM(G37:G42)</f>
        <v>194239248</v>
      </c>
      <c r="H43" s="22">
        <f>SUM(H37:H42)</f>
        <v>169905687.07000002</v>
      </c>
      <c r="I43" s="19">
        <f>SUM(I37:I42)</f>
        <v>130357062.58</v>
      </c>
      <c r="J43" s="20">
        <f t="shared" si="20"/>
        <v>0.12527623114562295</v>
      </c>
      <c r="K43" s="21">
        <f t="shared" si="22"/>
        <v>0.76723189687166704</v>
      </c>
      <c r="L43" s="18">
        <f>SUM(L37:L42)</f>
        <v>194239248</v>
      </c>
      <c r="M43" s="22">
        <f>SUM(M37:M42)</f>
        <v>162426308.51999998</v>
      </c>
      <c r="N43" s="19">
        <f>SUM(N37:N42)</f>
        <v>170345444.66</v>
      </c>
      <c r="O43" s="20">
        <f t="shared" si="21"/>
        <v>0.16378224178462644</v>
      </c>
      <c r="P43" s="21">
        <f t="shared" si="23"/>
        <v>1.0487552553041302</v>
      </c>
    </row>
    <row r="44" spans="1:16" ht="15.75" thickTop="1"/>
  </sheetData>
  <mergeCells count="12">
    <mergeCell ref="B2:F2"/>
    <mergeCell ref="G2:K2"/>
    <mergeCell ref="L2:P2"/>
    <mergeCell ref="B13:F13"/>
    <mergeCell ref="G13:K13"/>
    <mergeCell ref="L13:P13"/>
    <mergeCell ref="B24:F24"/>
    <mergeCell ref="G24:K24"/>
    <mergeCell ref="L24:P24"/>
    <mergeCell ref="B35:F35"/>
    <mergeCell ref="G35:K35"/>
    <mergeCell ref="L35:P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Naazim Essa</dc:creator>
  <cp:lastModifiedBy>Monique</cp:lastModifiedBy>
  <dcterms:created xsi:type="dcterms:W3CDTF">2020-08-15T17:31:41Z</dcterms:created>
  <dcterms:modified xsi:type="dcterms:W3CDTF">2020-08-18T08:25:21Z</dcterms:modified>
</cp:coreProperties>
</file>