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EPART~2\PARLIA~4\COMMIT~1\PORTFO~1\2018\22MAY2~1\"/>
    </mc:Choice>
  </mc:AlternateContent>
  <bookViews>
    <workbookView xWindow="120" yWindow="1380" windowWidth="11880" windowHeight="3650" firstSheet="1" activeTab="4"/>
  </bookViews>
  <sheets>
    <sheet name="Summary" sheetId="4" r:id="rId1"/>
    <sheet name="Prog 1-Administration" sheetId="5" r:id="rId2"/>
    <sheet name="Prog 2-Legal, Auth &amp; Compl" sheetId="6" r:id="rId3"/>
    <sheet name="Prog 3-Ocean &amp;Coasts" sheetId="7" r:id="rId4"/>
    <sheet name="Prog4-Climate Chng&amp;Air Quality " sheetId="11" r:id="rId5"/>
    <sheet name="Prog5-Bioderv&amp;Conservation" sheetId="12" r:id="rId6"/>
    <sheet name="Prog6-Environmental Programmes" sheetId="10" r:id="rId7"/>
    <sheet name="Prog7-Chemica&amp;Waste" sheetId="15" r:id="rId8"/>
  </sheets>
  <definedNames>
    <definedName name="_xlnm._FilterDatabase" localSheetId="2" hidden="1">'Prog 2-Legal, Auth &amp; Compl'!#REF!</definedName>
    <definedName name="_xlnm.Print_Area" localSheetId="1">'Prog 1-Administration'!$A$1:$K$109</definedName>
    <definedName name="_xlnm.Print_Area" localSheetId="4">'Prog4-Climate Chng&amp;Air Quality '!$A$1:$K$61</definedName>
    <definedName name="_xlnm.Print_Area" localSheetId="5">'Prog5-Bioderv&amp;Conservation'!$A$1:$K$75</definedName>
    <definedName name="_xlnm.Print_Area" localSheetId="6">'Prog6-Environmental Programmes'!$A$1:$K$66</definedName>
    <definedName name="_xlnm.Print_Area" localSheetId="7">'Prog7-Chemica&amp;Waste'!$A$1:$K$68</definedName>
    <definedName name="_xlnm.Print_Area" localSheetId="0">Summary!$A$1:$L$111</definedName>
    <definedName name="_xlnm.Print_Titles" localSheetId="1">'Prog 1-Administration'!$14:$14</definedName>
    <definedName name="_xlnm.Print_Titles" localSheetId="2">'Prog 2-Legal, Auth &amp; Compl'!#REF!</definedName>
  </definedNames>
  <calcPr calcId="152511"/>
</workbook>
</file>

<file path=xl/calcChain.xml><?xml version="1.0" encoding="utf-8"?>
<calcChain xmlns="http://schemas.openxmlformats.org/spreadsheetml/2006/main">
  <c r="H40" i="6" l="1"/>
  <c r="H24" i="15" l="1"/>
  <c r="H74" i="5"/>
  <c r="H50" i="10"/>
  <c r="H20" i="6"/>
  <c r="H23" i="6"/>
  <c r="H26" i="5"/>
  <c r="H72" i="7" l="1"/>
  <c r="H53" i="10" l="1"/>
  <c r="H57" i="15"/>
  <c r="H60" i="15" s="1"/>
  <c r="H55" i="12"/>
  <c r="H48" i="12"/>
  <c r="H49" i="11"/>
  <c r="H59" i="7"/>
  <c r="H57" i="7"/>
  <c r="H55" i="7"/>
  <c r="H51" i="7"/>
  <c r="H46" i="6"/>
  <c r="H99" i="5"/>
  <c r="H65" i="5"/>
  <c r="H22" i="10" l="1"/>
  <c r="H18" i="10"/>
  <c r="H26" i="11"/>
  <c r="H26" i="12"/>
  <c r="H17" i="15"/>
  <c r="H28" i="15"/>
  <c r="H26" i="15"/>
  <c r="H23" i="15"/>
  <c r="H25" i="15"/>
  <c r="H21" i="15"/>
  <c r="H20" i="15"/>
  <c r="H17" i="12"/>
  <c r="H23" i="12"/>
  <c r="H14" i="12"/>
  <c r="H17" i="11"/>
  <c r="H18" i="11"/>
  <c r="H16" i="11"/>
  <c r="H15" i="11"/>
  <c r="H25" i="11"/>
  <c r="H26" i="7"/>
  <c r="H13" i="7"/>
  <c r="H18" i="6"/>
  <c r="H32" i="5"/>
  <c r="H27" i="5"/>
  <c r="H38" i="5"/>
  <c r="H40" i="10"/>
  <c r="H50" i="15"/>
  <c r="H42" i="12"/>
  <c r="H45" i="7"/>
  <c r="H56" i="5"/>
  <c r="H57" i="5"/>
  <c r="H65" i="15"/>
  <c r="H71" i="7"/>
  <c r="H34" i="6"/>
  <c r="H48" i="10" l="1"/>
  <c r="H57" i="10" l="1"/>
  <c r="H47" i="6"/>
  <c r="H68" i="5"/>
  <c r="H73" i="7" l="1"/>
  <c r="H107" i="5"/>
  <c r="H14" i="15"/>
  <c r="H16" i="15"/>
  <c r="H14" i="11"/>
  <c r="H24" i="11"/>
  <c r="H15" i="6"/>
  <c r="H21" i="6"/>
  <c r="H34" i="5"/>
  <c r="H23" i="5"/>
  <c r="H33" i="15" l="1"/>
  <c r="H64" i="5"/>
  <c r="H24" i="12"/>
  <c r="H20" i="5"/>
  <c r="H93" i="5" l="1"/>
  <c r="H16" i="12" l="1"/>
  <c r="H15" i="12"/>
  <c r="H22" i="12"/>
  <c r="H17" i="5" l="1"/>
  <c r="H18" i="5"/>
  <c r="H19" i="5"/>
  <c r="H40" i="5" l="1"/>
  <c r="H59" i="5"/>
  <c r="E9" i="4" s="1"/>
  <c r="H54" i="10" l="1"/>
  <c r="H49" i="12"/>
  <c r="H53" i="7"/>
  <c r="H89" i="5" l="1"/>
  <c r="H21" i="11"/>
  <c r="H23" i="11"/>
  <c r="H22" i="11"/>
  <c r="H20" i="11"/>
  <c r="H17" i="6" l="1"/>
  <c r="H72" i="5" l="1"/>
  <c r="H66" i="5" l="1"/>
  <c r="H16" i="7" l="1"/>
  <c r="H35" i="6"/>
  <c r="H51" i="6" l="1"/>
  <c r="H47" i="10" l="1"/>
  <c r="H70" i="5"/>
  <c r="H66" i="7" l="1"/>
  <c r="H77" i="5"/>
  <c r="H33" i="6" l="1"/>
  <c r="H36" i="6" s="1"/>
  <c r="F10" i="4" s="1"/>
  <c r="H42" i="6"/>
  <c r="E10" i="4" s="1"/>
  <c r="H9" i="4" l="1"/>
  <c r="C9" i="4" l="1"/>
  <c r="G9" i="4"/>
  <c r="H14" i="4" l="1"/>
  <c r="H11" i="4" l="1"/>
  <c r="H10" i="4"/>
  <c r="C13" i="4"/>
  <c r="C11" i="4"/>
  <c r="G11" i="4" l="1"/>
  <c r="C12" i="4" l="1"/>
  <c r="B17" i="4" l="1"/>
  <c r="G15" i="4"/>
  <c r="H15" i="4"/>
  <c r="H52" i="15"/>
  <c r="C15" i="4"/>
  <c r="H45" i="15"/>
  <c r="F15" i="4" s="1"/>
  <c r="H39" i="15"/>
  <c r="D15" i="4" s="1"/>
  <c r="H63" i="10"/>
  <c r="G14" i="4" s="1"/>
  <c r="H56" i="11"/>
  <c r="G12" i="4" s="1"/>
  <c r="H63" i="12"/>
  <c r="H42" i="10"/>
  <c r="E14" i="4" s="1"/>
  <c r="H35" i="10"/>
  <c r="F14" i="4" s="1"/>
  <c r="H13" i="4"/>
  <c r="H44" i="12"/>
  <c r="E13" i="4" s="1"/>
  <c r="H38" i="12"/>
  <c r="F13" i="4" s="1"/>
  <c r="H50" i="11"/>
  <c r="H12" i="4" s="1"/>
  <c r="H44" i="11"/>
  <c r="E12" i="4" s="1"/>
  <c r="G13" i="4" l="1"/>
  <c r="E15" i="4"/>
  <c r="I15" i="4" s="1"/>
  <c r="H67" i="15"/>
  <c r="C14" i="4"/>
  <c r="H39" i="11"/>
  <c r="F12" i="4" s="1"/>
  <c r="K15" i="4" l="1"/>
  <c r="J15" i="4"/>
  <c r="H47" i="7"/>
  <c r="E11" i="4" s="1"/>
  <c r="H41" i="7"/>
  <c r="F11" i="4" s="1"/>
  <c r="H58" i="6"/>
  <c r="G10" i="4" s="1"/>
  <c r="H29" i="6"/>
  <c r="D10" i="4" s="1"/>
  <c r="C10" i="4" l="1"/>
  <c r="H46" i="5" l="1"/>
  <c r="D9" i="4" s="1"/>
  <c r="H17" i="4" l="1"/>
  <c r="H52" i="5"/>
  <c r="F9" i="4" s="1"/>
  <c r="H29" i="10"/>
  <c r="H65" i="10" l="1"/>
  <c r="D14" i="4"/>
  <c r="I14" i="4" s="1"/>
  <c r="F17" i="4"/>
  <c r="H32" i="12"/>
  <c r="D13" i="4" l="1"/>
  <c r="I13" i="4" s="1"/>
  <c r="H65" i="12"/>
  <c r="K14" i="4"/>
  <c r="J14" i="4"/>
  <c r="I9" i="4"/>
  <c r="J9" i="4" l="1"/>
  <c r="K9" i="4"/>
  <c r="K13" i="4"/>
  <c r="J13" i="4"/>
  <c r="G17" i="4"/>
  <c r="H109" i="5" l="1"/>
  <c r="H32" i="11"/>
  <c r="D12" i="4" s="1"/>
  <c r="I12" i="4" s="1"/>
  <c r="C17" i="4" l="1"/>
  <c r="H59" i="11"/>
  <c r="H33" i="7"/>
  <c r="D11" i="4" s="1"/>
  <c r="I11" i="4" l="1"/>
  <c r="D17" i="4"/>
  <c r="H75" i="7"/>
  <c r="I10" i="4"/>
  <c r="H60" i="6"/>
  <c r="K12" i="4" l="1"/>
  <c r="J12" i="4"/>
  <c r="K11" i="4"/>
  <c r="J11" i="4"/>
  <c r="E17" i="4"/>
  <c r="I17" i="4" s="1"/>
  <c r="K10" i="4" l="1"/>
  <c r="J10" i="4"/>
  <c r="K17" i="4" l="1"/>
  <c r="J17" i="4"/>
</calcChain>
</file>

<file path=xl/sharedStrings.xml><?xml version="1.0" encoding="utf-8"?>
<sst xmlns="http://schemas.openxmlformats.org/spreadsheetml/2006/main" count="2048" uniqueCount="734">
  <si>
    <t>COMPANY</t>
  </si>
  <si>
    <t>DESCRIPTION</t>
  </si>
  <si>
    <t>PERIOD</t>
  </si>
  <si>
    <t>WOMEN</t>
  </si>
  <si>
    <t>BEE</t>
  </si>
  <si>
    <t>TOTAL AMOUNT</t>
  </si>
  <si>
    <t>TOTAL</t>
  </si>
  <si>
    <t>AMOUNT</t>
  </si>
  <si>
    <t>GRAND TOTAL</t>
  </si>
  <si>
    <t>RSP PROJECT MANAGER</t>
  </si>
  <si>
    <t>REASON FOR CONSULTANT</t>
  </si>
  <si>
    <t>Grand Total</t>
  </si>
  <si>
    <t xml:space="preserve">START </t>
  </si>
  <si>
    <t>END</t>
  </si>
  <si>
    <t>CATEGORY</t>
  </si>
  <si>
    <t xml:space="preserve"> </t>
  </si>
  <si>
    <t>BUSINESS &amp; ADVISORY SERVICES</t>
  </si>
  <si>
    <t>LEGAL SERVICES</t>
  </si>
  <si>
    <t>CONTRACTORS</t>
  </si>
  <si>
    <t>AGENCY &amp; OUTSOURCED SERVICES</t>
  </si>
  <si>
    <t>Business &amp; Advisory</t>
  </si>
  <si>
    <t>Contractors</t>
  </si>
  <si>
    <t>Budget</t>
  </si>
  <si>
    <t>Programme</t>
  </si>
  <si>
    <t>A Boyd</t>
  </si>
  <si>
    <t>F Craigie</t>
  </si>
  <si>
    <t>INFRASTRUCTURE &amp; PLANNING</t>
  </si>
  <si>
    <t>LABORATORIES SERVICES</t>
  </si>
  <si>
    <t>PROGRAMME 2:    LEGAL, AUTHORISATIONS &amp; COMPLIANCE</t>
  </si>
  <si>
    <t>PROGRAMME 3: OCEANS &amp; COASTS</t>
  </si>
  <si>
    <t>PROGRAMME 4: CLIMATE CHANGE &amp; AIR QUALITY</t>
  </si>
  <si>
    <t xml:space="preserve">  </t>
  </si>
  <si>
    <t>PROGRAMME 6: ENVIRONMENTAL PROGRAMMES</t>
  </si>
  <si>
    <t>Prog1:Admin</t>
  </si>
  <si>
    <t>Prog3:OC</t>
  </si>
  <si>
    <t>Prog2:LACE</t>
  </si>
  <si>
    <t>Prog4:CC</t>
  </si>
  <si>
    <t>Prog5:B &amp; C</t>
  </si>
  <si>
    <t>Prog6:EP</t>
  </si>
  <si>
    <t>Prog7:CWM</t>
  </si>
  <si>
    <t>Agency&amp;Outsourced Services</t>
  </si>
  <si>
    <t>Legal Services</t>
  </si>
  <si>
    <t>Total Expenditure</t>
  </si>
  <si>
    <t>Laboratory Services</t>
  </si>
  <si>
    <t>%</t>
  </si>
  <si>
    <t xml:space="preserve">Balance </t>
  </si>
  <si>
    <t>Infrastructure &amp; Planning Services</t>
  </si>
  <si>
    <t>R</t>
  </si>
  <si>
    <t>Various suppliers</t>
  </si>
  <si>
    <t>Casual Labourers</t>
  </si>
  <si>
    <t>Once Off</t>
  </si>
  <si>
    <t>E Madula</t>
  </si>
  <si>
    <t>No Internal Capacity</t>
  </si>
  <si>
    <t>Various Suppliers</t>
  </si>
  <si>
    <t>Medical Services</t>
  </si>
  <si>
    <t>01/04/2017</t>
  </si>
  <si>
    <t>31/03/2018</t>
  </si>
  <si>
    <t>12 months</t>
  </si>
  <si>
    <t>Medicals</t>
  </si>
  <si>
    <t>Nelson Mandela University</t>
  </si>
  <si>
    <t>Madifahlo and Trailors-Made Risk</t>
  </si>
  <si>
    <t>Lwandulwazi nlimited Consultats</t>
  </si>
  <si>
    <t>National Department of Justice</t>
  </si>
  <si>
    <t>Legal</t>
  </si>
  <si>
    <t>31/03/2017</t>
  </si>
  <si>
    <t>A Wessels</t>
  </si>
  <si>
    <t>G Walters</t>
  </si>
  <si>
    <t>GMC Evaluations</t>
  </si>
  <si>
    <t>31/08/201</t>
  </si>
  <si>
    <t xml:space="preserve">Makhudu SM  </t>
  </si>
  <si>
    <t>Evaluaions</t>
  </si>
  <si>
    <t>Greenest Municipality Competitions evaluations and adjudication and compensation of panelists.</t>
  </si>
  <si>
    <t>M Randitsheni</t>
  </si>
  <si>
    <t>Predation study project</t>
  </si>
  <si>
    <t>02/03/2017</t>
  </si>
  <si>
    <t>28/02/2018</t>
  </si>
  <si>
    <t>Research</t>
  </si>
  <si>
    <t>Scientific Research Study and the historical mammal study projects under the approved MOU.</t>
  </si>
  <si>
    <t>W Mandivenyi</t>
  </si>
  <si>
    <t>Development of final reports</t>
  </si>
  <si>
    <t>Waste service advisory</t>
  </si>
  <si>
    <t>15/11/2017</t>
  </si>
  <si>
    <t>7 months</t>
  </si>
  <si>
    <t>Licensing</t>
  </si>
  <si>
    <t>Licensing of unlicensed waste disposal facilities in Limpopo Province</t>
  </si>
  <si>
    <t>M Gordon</t>
  </si>
  <si>
    <t>Waste</t>
  </si>
  <si>
    <t>S Rakhoho</t>
  </si>
  <si>
    <t>21st Century</t>
  </si>
  <si>
    <t>Ernst and Young Advisory Service</t>
  </si>
  <si>
    <t>Tshikudu FS</t>
  </si>
  <si>
    <t>Padayachy S</t>
  </si>
  <si>
    <t>Hugo EL</t>
  </si>
  <si>
    <t>Cleardata Pty Ltd</t>
  </si>
  <si>
    <t>Newsclip Media Monitoring</t>
  </si>
  <si>
    <t>GP Infotech</t>
  </si>
  <si>
    <t>The Vuvuzela Hotline Pty Ltd</t>
  </si>
  <si>
    <t>CSIR Environmentek</t>
  </si>
  <si>
    <t>PRDW South Africa Pty Ltd</t>
  </si>
  <si>
    <t>Enfo Tech &amp; Consulting Inc</t>
  </si>
  <si>
    <t>Medical services</t>
  </si>
  <si>
    <t>KT Airconditioning CC</t>
  </si>
  <si>
    <t>Empoweaworkx</t>
  </si>
  <si>
    <t>31/04/2018</t>
  </si>
  <si>
    <t>D6 Technology Pty Ltd</t>
  </si>
  <si>
    <t>No internal capacity</t>
  </si>
  <si>
    <t>Siyenza Holdings Pty Ltd</t>
  </si>
  <si>
    <t>Makako Catering Services</t>
  </si>
  <si>
    <t>Development of a remuneration and human resources framework system for public entities.</t>
  </si>
  <si>
    <t>01/04/2016</t>
  </si>
  <si>
    <t>Development</t>
  </si>
  <si>
    <t>H Schoeman</t>
  </si>
  <si>
    <t>Appointment of a service provider for co-sourcing the Internal Audit Services of Environmental Affairs</t>
  </si>
  <si>
    <t xml:space="preserve">Professional Services </t>
  </si>
  <si>
    <t>Co-sourcing the Internal Audit Services of Environmental Affairs</t>
  </si>
  <si>
    <t>V Steyn</t>
  </si>
  <si>
    <t>Audit Committee Member</t>
  </si>
  <si>
    <t>Committee member</t>
  </si>
  <si>
    <t>Audit committee member for DEA</t>
  </si>
  <si>
    <t>Appoint a media monitoring service provider for a period of twelve (12) months</t>
  </si>
  <si>
    <t>Media Monitoring</t>
  </si>
  <si>
    <t>A Modise</t>
  </si>
  <si>
    <t>Motivational Speaker</t>
  </si>
  <si>
    <t>Once off</t>
  </si>
  <si>
    <t>Workshop</t>
  </si>
  <si>
    <t>Motivational speaker for SMS DLN</t>
  </si>
  <si>
    <t>I Qaqane</t>
  </si>
  <si>
    <t xml:space="preserve">Maintainance </t>
  </si>
  <si>
    <t xml:space="preserve">Monthly servicing of air conditioners </t>
  </si>
  <si>
    <t>S Mohamed</t>
  </si>
  <si>
    <t>Service provider for management of hotline</t>
  </si>
  <si>
    <t>Consulting</t>
  </si>
  <si>
    <t>To manage environmental crime and incident hotline for the Environmental Management Inspectorate</t>
  </si>
  <si>
    <t>Extention of the contract with D6 Technology for provision of an electronic communication tool (D6 Communicator) for the Environmental Management Inspectorate</t>
  </si>
  <si>
    <t>Provision of an electronic communication tool (D6 Communicator) for the Environmental Management Inspectorate</t>
  </si>
  <si>
    <t>F Craige</t>
  </si>
  <si>
    <t>1/03/2018</t>
  </si>
  <si>
    <t>Professional Fees</t>
  </si>
  <si>
    <t>Tidal pool and related coastal infrastructure in Port St Johns</t>
  </si>
  <si>
    <t>C Mangcu</t>
  </si>
  <si>
    <t>Inception report</t>
  </si>
  <si>
    <t>M Mayekiso</t>
  </si>
  <si>
    <t>NAEIS hosting &amp; technical support services</t>
  </si>
  <si>
    <t>Maintainance &amp; Repairs</t>
  </si>
  <si>
    <t>T Mahema</t>
  </si>
  <si>
    <t>Hanekom PE</t>
  </si>
  <si>
    <t>Van Der Nest DP</t>
  </si>
  <si>
    <t>Esri South Africa</t>
  </si>
  <si>
    <t>Kena Consuting Pty Ltd</t>
  </si>
  <si>
    <t>Anchor Environment Consultants</t>
  </si>
  <si>
    <t>Jaymat Enviro Solutions</t>
  </si>
  <si>
    <t>Tembafor 194  Pty Ltd</t>
  </si>
  <si>
    <t>The Green House Consultants CC</t>
  </si>
  <si>
    <t>D&amp;T Central Admin</t>
  </si>
  <si>
    <t>University of Johannesburg</t>
  </si>
  <si>
    <t>Genesis Analytics Pty Ltd</t>
  </si>
  <si>
    <t>Dynamic Identification Sytems</t>
  </si>
  <si>
    <t>Loshini Graphics</t>
  </si>
  <si>
    <t>Cherry Mash Photography</t>
  </si>
  <si>
    <t>Orca Industries</t>
  </si>
  <si>
    <t>Contractors casual labourers</t>
  </si>
  <si>
    <t>Clearing of alien invasive plants</t>
  </si>
  <si>
    <t>Maintainance and repairs</t>
  </si>
  <si>
    <t>Maintainance</t>
  </si>
  <si>
    <t>Service of two petrol bauer oceans comp</t>
  </si>
  <si>
    <t>Permit allocation process for boat based whale watching and white shark cage diving.</t>
  </si>
  <si>
    <t>G Popose</t>
  </si>
  <si>
    <t>Final report</t>
  </si>
  <si>
    <t>02/06/2017</t>
  </si>
  <si>
    <t>2 months</t>
  </si>
  <si>
    <t>Gather evidence in support of updating the three water quality guidelines for Marine &amp; Coastal Waters</t>
  </si>
  <si>
    <t>Y Peterson</t>
  </si>
  <si>
    <t>SL Witbooi</t>
  </si>
  <si>
    <t>Office cleaning</t>
  </si>
  <si>
    <t>Cleaning</t>
  </si>
  <si>
    <t>Office cleaning Northem Cape Region</t>
  </si>
  <si>
    <t>N Khuma</t>
  </si>
  <si>
    <t>Delivery services</t>
  </si>
  <si>
    <t>Transportation</t>
  </si>
  <si>
    <t>Delivery services for catering</t>
  </si>
  <si>
    <t>D Mashimbye</t>
  </si>
  <si>
    <t>14/02/2017</t>
  </si>
  <si>
    <t>13/08/2018</t>
  </si>
  <si>
    <t>18 Months</t>
  </si>
  <si>
    <t>A Wills</t>
  </si>
  <si>
    <t>License products &amp; services</t>
  </si>
  <si>
    <t>Video shoot</t>
  </si>
  <si>
    <t>Audio</t>
  </si>
  <si>
    <t>Video of operation phakisa offshore oil and gas and marine transport and manufacturing work at the eight major ports of South Africa.</t>
  </si>
  <si>
    <t>ME Swift</t>
  </si>
  <si>
    <t>Photogrephy</t>
  </si>
  <si>
    <t>Photographs of operation phakisa offshore oil and gas and marine transport and manufacturing work at the eight major ports of South Africa.</t>
  </si>
  <si>
    <t>Socio economic and environmental impact evaluation of eople and parks programme.</t>
  </si>
  <si>
    <t>Professional services</t>
  </si>
  <si>
    <t>N Sithole</t>
  </si>
  <si>
    <t>Alignment of standard procedures guidelines and directives. Or epip projects</t>
  </si>
  <si>
    <t>T Mokotedi</t>
  </si>
  <si>
    <t>Survey and data gathering</t>
  </si>
  <si>
    <t>Plastics materials study</t>
  </si>
  <si>
    <t>X-Ray scanners</t>
  </si>
  <si>
    <t>X-ray scanners</t>
  </si>
  <si>
    <t>Re-development f the existing enviro indicators portal</t>
  </si>
  <si>
    <t>L Makotoko</t>
  </si>
  <si>
    <t>Repairs for printers</t>
  </si>
  <si>
    <t>V Naidoo</t>
  </si>
  <si>
    <t>Ad-Hoc document destruction</t>
  </si>
  <si>
    <t>Shredding of documents</t>
  </si>
  <si>
    <t>Consultancy Services</t>
  </si>
  <si>
    <t>Professional Service</t>
  </si>
  <si>
    <t>Umoya Nilu Consulting Pty Ltd</t>
  </si>
  <si>
    <t>State of Air report</t>
  </si>
  <si>
    <t>A Makau</t>
  </si>
  <si>
    <t>Intergrated Forensic Accounting</t>
  </si>
  <si>
    <t>University of Johanessburg</t>
  </si>
  <si>
    <t>University Of Pretoria</t>
  </si>
  <si>
    <t>Urban-Econ Development Economist</t>
  </si>
  <si>
    <t>Grant Thornton PS Advisory</t>
  </si>
  <si>
    <t>Gibb Pty Ltd</t>
  </si>
  <si>
    <t>South African Biodivers</t>
  </si>
  <si>
    <t>Primedia Broad Casting Pty Ltd</t>
  </si>
  <si>
    <t>Mandate Molefi Human Resource</t>
  </si>
  <si>
    <t>The Motivation Company</t>
  </si>
  <si>
    <t>Share Catering</t>
  </si>
  <si>
    <t>Matlou MC</t>
  </si>
  <si>
    <t>Repairs of trimbe recon</t>
  </si>
  <si>
    <t>T Puling</t>
  </si>
  <si>
    <t>Liquid Icon</t>
  </si>
  <si>
    <t>Khaozen Construction and Projects</t>
  </si>
  <si>
    <t>Inventory and database baseline information for GM crops</t>
  </si>
  <si>
    <t>M Munzhedzi</t>
  </si>
  <si>
    <t>A Ntshabele</t>
  </si>
  <si>
    <t>Transpotation</t>
  </si>
  <si>
    <t>Transport</t>
  </si>
  <si>
    <t>J Badul</t>
  </si>
  <si>
    <t>Forensic Accounting Service</t>
  </si>
  <si>
    <t>Progress Report</t>
  </si>
  <si>
    <t>01/02/2017</t>
  </si>
  <si>
    <t>31/01/2018</t>
  </si>
  <si>
    <t xml:space="preserve">Stakeholder engagement plan, progress report outcomes of objecive </t>
  </si>
  <si>
    <t>L Moeketsi</t>
  </si>
  <si>
    <t>Annual financial statement review</t>
  </si>
  <si>
    <t>31/03/2020</t>
  </si>
  <si>
    <t>3 years</t>
  </si>
  <si>
    <t>A Pillay</t>
  </si>
  <si>
    <t>Security services</t>
  </si>
  <si>
    <t>Security</t>
  </si>
  <si>
    <t>Security services for Talk radio 702 walk campaign</t>
  </si>
  <si>
    <t>Facilitation of the cultural day</t>
  </si>
  <si>
    <t>Training of case officers</t>
  </si>
  <si>
    <t>Cycad identification - DNA barcording</t>
  </si>
  <si>
    <t>12 MONTHS</t>
  </si>
  <si>
    <t>Professionan services</t>
  </si>
  <si>
    <t>DNA sample analysis and  creation of standing orders for sample analysis.</t>
  </si>
  <si>
    <t>Graphic designing</t>
  </si>
  <si>
    <t>Graphic designers</t>
  </si>
  <si>
    <t>DTP and layout Identity guidelines 2016</t>
  </si>
  <si>
    <t>C Malherbe</t>
  </si>
  <si>
    <t>Forensic DNA profiles</t>
  </si>
  <si>
    <t>M Jardine</t>
  </si>
  <si>
    <t>African Management Solutions</t>
  </si>
  <si>
    <t>Readira Media</t>
  </si>
  <si>
    <t>SA Qualifications Authority</t>
  </si>
  <si>
    <t>Frame Works</t>
  </si>
  <si>
    <t xml:space="preserve">North West University </t>
  </si>
  <si>
    <t>Luger MK</t>
  </si>
  <si>
    <t>Coastal and Environmental Service</t>
  </si>
  <si>
    <t>Tailor Made Risk Solutions</t>
  </si>
  <si>
    <t>Syboi</t>
  </si>
  <si>
    <t>Icarious Productions</t>
  </si>
  <si>
    <t>KT Airconditioning</t>
  </si>
  <si>
    <t>Mbono Markerting Business Solutions</t>
  </si>
  <si>
    <t>Iwasa Holdings Pty Ltd</t>
  </si>
  <si>
    <t>Sebenzani Development Agriculture</t>
  </si>
  <si>
    <t>Add Vuntures Pty Ltd</t>
  </si>
  <si>
    <t>Four Stroke Marine</t>
  </si>
  <si>
    <t xml:space="preserve">Pieter Burger Constructive </t>
  </si>
  <si>
    <t>Dzana General Trading Supplies</t>
  </si>
  <si>
    <t>Pre View Caterers and Printing</t>
  </si>
  <si>
    <t>SN and NNS Trading</t>
  </si>
  <si>
    <t>Language translation</t>
  </si>
  <si>
    <t>Translation of a booklet to Isizulu.</t>
  </si>
  <si>
    <t>S Mncube</t>
  </si>
  <si>
    <t>Transport costs</t>
  </si>
  <si>
    <t>S Mogomotsi</t>
  </si>
  <si>
    <t>D Fischer</t>
  </si>
  <si>
    <t>Audio visual services</t>
  </si>
  <si>
    <t>Audio Visual</t>
  </si>
  <si>
    <t>Film the EMI waste and polution sampling course, edit raw footage and produce multiple disk DVD pack for the department.</t>
  </si>
  <si>
    <t>Develop a monitoring and evaluation framework on behalf of the department.</t>
  </si>
  <si>
    <t>31/01/2017</t>
  </si>
  <si>
    <t>10 months</t>
  </si>
  <si>
    <t>Develop a monitoring and evaluation framework for branch Chemicals and Waste.</t>
  </si>
  <si>
    <t>T Magomola</t>
  </si>
  <si>
    <t>Review of proposal nuclear sites</t>
  </si>
  <si>
    <t>Participation in the nuclear advisory panel for the proposed conventional nuclear power stations South Africa.</t>
  </si>
  <si>
    <t>M Solomons</t>
  </si>
  <si>
    <t>Digimaker CMS tech support service</t>
  </si>
  <si>
    <t>End user agreement for digimaker software.</t>
  </si>
  <si>
    <t>A Mapye</t>
  </si>
  <si>
    <t>Maintanace</t>
  </si>
  <si>
    <t>Management fees for the ship.</t>
  </si>
  <si>
    <t>Profesional Services</t>
  </si>
  <si>
    <t>Motivationa Speaker</t>
  </si>
  <si>
    <t>Luonde Holdings</t>
  </si>
  <si>
    <t>Motivational speaker for an event in Mpumalanga</t>
  </si>
  <si>
    <t>K Ngxabani</t>
  </si>
  <si>
    <t>Motivational speaker for an event in East London.</t>
  </si>
  <si>
    <t xml:space="preserve">Motivational speaker </t>
  </si>
  <si>
    <t>Motivational speaker for DLN in Free State</t>
  </si>
  <si>
    <t>N Magwala</t>
  </si>
  <si>
    <t>Z Nqayi</t>
  </si>
  <si>
    <t>DNA barcoding</t>
  </si>
  <si>
    <t>K Malakalaka</t>
  </si>
  <si>
    <t>Final draft fees structure</t>
  </si>
  <si>
    <t>Development fees for declamation of land water.</t>
  </si>
  <si>
    <t>Aquatic Laboratories Pty Ltd</t>
  </si>
  <si>
    <t>University of Pretoria</t>
  </si>
  <si>
    <t>Veterinary services</t>
  </si>
  <si>
    <t>Transport Costs</t>
  </si>
  <si>
    <t>Meridian Training</t>
  </si>
  <si>
    <t>Aptronics Pty Ltd</t>
  </si>
  <si>
    <t>CF Riding</t>
  </si>
  <si>
    <t>Game Rangers Association of Africa</t>
  </si>
  <si>
    <t>Ezonsundu</t>
  </si>
  <si>
    <t>Real Abundance Innovations Group</t>
  </si>
  <si>
    <t>Wayn Com Part of LMN Next UK LT</t>
  </si>
  <si>
    <t>Aurecon South Africa Pty Ltd</t>
  </si>
  <si>
    <t>Plum Premium Solutions Pty Ltd</t>
  </si>
  <si>
    <t>Pre View Caters and Printing</t>
  </si>
  <si>
    <t>Mustek Limited</t>
  </si>
  <si>
    <t>Barloworld Equipment</t>
  </si>
  <si>
    <t>Intsingizi Bird Town Lodge</t>
  </si>
  <si>
    <t>Legal invetigations</t>
  </si>
  <si>
    <t>Investigate allegations of sexual harrasment in the department.</t>
  </si>
  <si>
    <t>S Moganetsi</t>
  </si>
  <si>
    <t>Sita services</t>
  </si>
  <si>
    <t>R Harikaran</t>
  </si>
  <si>
    <t>Water quality analysis</t>
  </si>
  <si>
    <t>G Wayers</t>
  </si>
  <si>
    <t>Analysis report</t>
  </si>
  <si>
    <t>S Munzhedzi</t>
  </si>
  <si>
    <t>Report on business opportunities</t>
  </si>
  <si>
    <t>C Khumalo</t>
  </si>
  <si>
    <t>Catering delivery services</t>
  </si>
  <si>
    <t>TFCA Intergrated campaign</t>
  </si>
  <si>
    <t>Facilitation of public coastal access: Ballots Bay, Eerste Rivier</t>
  </si>
  <si>
    <t xml:space="preserve">Facilitation of public coastal access: Ballots Bay, Eerste Rivier. </t>
  </si>
  <si>
    <t>Repairs of snowmobile skidoo.</t>
  </si>
  <si>
    <t>Machine repairs</t>
  </si>
  <si>
    <t>Repairs for the caterpillar machine</t>
  </si>
  <si>
    <t>N Denavathan</t>
  </si>
  <si>
    <t>Planning cycle</t>
  </si>
  <si>
    <t>21/06/2017</t>
  </si>
  <si>
    <t>9 months</t>
  </si>
  <si>
    <t>Planning and Environmental compliance for the working on wetlands programme.</t>
  </si>
  <si>
    <t>U Bahadur</t>
  </si>
  <si>
    <t>Motivation speaker for Cape Town DLN</t>
  </si>
  <si>
    <t>South African Post Office</t>
  </si>
  <si>
    <t>Bangula Lingo Centre</t>
  </si>
  <si>
    <t>3P Design</t>
  </si>
  <si>
    <t>CSIR</t>
  </si>
  <si>
    <t>Mamadi and Company SA Pty Ltd</t>
  </si>
  <si>
    <t>Airshed Planning Professionals</t>
  </si>
  <si>
    <t>The Guild Combination</t>
  </si>
  <si>
    <t>Stellenbosch University</t>
  </si>
  <si>
    <t>Awa Networking and Telecom Proj</t>
  </si>
  <si>
    <t>Recabling of DSTV Cape Town Office</t>
  </si>
  <si>
    <t>Skynet South Africa</t>
  </si>
  <si>
    <t>Courier services</t>
  </si>
  <si>
    <t>Courier and delivery services</t>
  </si>
  <si>
    <t>L Nesane</t>
  </si>
  <si>
    <t>Mbuso Management Solutions</t>
  </si>
  <si>
    <t>Lilatate</t>
  </si>
  <si>
    <t>Rise Up &amp; Do Ot Business Ent</t>
  </si>
  <si>
    <t>Manong Business Solutions</t>
  </si>
  <si>
    <t>Zenande Leadership Consulting</t>
  </si>
  <si>
    <t>Casual Laboures</t>
  </si>
  <si>
    <t>31/0/2018</t>
  </si>
  <si>
    <t>Lamomanzi</t>
  </si>
  <si>
    <t>Partson Channel Spport</t>
  </si>
  <si>
    <t>Maintanaince</t>
  </si>
  <si>
    <t>Mahlabathi Sound System</t>
  </si>
  <si>
    <t>Heritage day celebration</t>
  </si>
  <si>
    <t>S Nyathi</t>
  </si>
  <si>
    <t>Masamaru Pty Ltd</t>
  </si>
  <si>
    <t xml:space="preserve">Cancer Awareness </t>
  </si>
  <si>
    <t>Live perfomance at the cancer awareness programme</t>
  </si>
  <si>
    <t>Namhla Motive Massage</t>
  </si>
  <si>
    <t>Massage services</t>
  </si>
  <si>
    <t xml:space="preserve">Sudumedi </t>
  </si>
  <si>
    <t>Motivational speaker at the cancer awareness programme</t>
  </si>
  <si>
    <t>Professional fees</t>
  </si>
  <si>
    <t>Assist the department in thefacilitation of Chemicals and Waste Economy Phakisa</t>
  </si>
  <si>
    <t>Translation</t>
  </si>
  <si>
    <t>Translation of a pamphlet from English to Zulu, Tswana and Afrikaans</t>
  </si>
  <si>
    <t>L Engelbrecht</t>
  </si>
  <si>
    <t>Development of wildlife economy investor catalogue</t>
  </si>
  <si>
    <t>03/08/2017</t>
  </si>
  <si>
    <t>02/07/2019</t>
  </si>
  <si>
    <t>2 years</t>
  </si>
  <si>
    <t>T Ramaru</t>
  </si>
  <si>
    <t>Draft report</t>
  </si>
  <si>
    <t>Undertaking of a cost benefit study for Air quality Management</t>
  </si>
  <si>
    <t>Skills development  and skills develooment programme</t>
  </si>
  <si>
    <t>30/10/2019</t>
  </si>
  <si>
    <t>Design and implement the environmental wildlife information system.</t>
  </si>
  <si>
    <t>Design and implement the environmental wildlife information system.The system will be used to capture, store and analyse highly confidential information on wildlife crimes for the naional wildlife information management unit.</t>
  </si>
  <si>
    <t>Household survey implementation report.</t>
  </si>
  <si>
    <t>T Ramsay</t>
  </si>
  <si>
    <t>Transaction advisors</t>
  </si>
  <si>
    <t>28/03/2017</t>
  </si>
  <si>
    <t>31//03/2017</t>
  </si>
  <si>
    <t>M Maseda</t>
  </si>
  <si>
    <t>Appointment of centre for invassion biology at university of stellebosch.</t>
  </si>
  <si>
    <t>A Khan</t>
  </si>
  <si>
    <t>Facilitation of a strategic plan session</t>
  </si>
  <si>
    <t>Facilitation of a strategic plan session for OC Branch</t>
  </si>
  <si>
    <t>CS Mangcu</t>
  </si>
  <si>
    <t>Maitainance</t>
  </si>
  <si>
    <t>Repairs of fridge</t>
  </si>
  <si>
    <t>Motivational talk in Northen Cape</t>
  </si>
  <si>
    <t>Motivation speaker and facilitator for breaking barriers, interns mid term reviews, Dea Learning Networks, Intern farewell and Compulsory Induction programme.</t>
  </si>
  <si>
    <t>Customer First Solutions</t>
  </si>
  <si>
    <t>Business Coonection Pty Ltd</t>
  </si>
  <si>
    <t>Boucher C</t>
  </si>
  <si>
    <t>Arcus Gibb</t>
  </si>
  <si>
    <t>Mega Amp Electrical</t>
  </si>
  <si>
    <t>Department of Agriculture</t>
  </si>
  <si>
    <t>Committee members</t>
  </si>
  <si>
    <t>Sakhau AJ</t>
  </si>
  <si>
    <t>Xaba B</t>
  </si>
  <si>
    <t>Nkomo M</t>
  </si>
  <si>
    <t>Ratsheko T</t>
  </si>
  <si>
    <t>Human Science Research Council</t>
  </si>
  <si>
    <t>Rhodes University</t>
  </si>
  <si>
    <t>People on Vibe</t>
  </si>
  <si>
    <t>Breakthrou Development</t>
  </si>
  <si>
    <t>Better Security &amp; Protection</t>
  </si>
  <si>
    <t>Graphic Designing</t>
  </si>
  <si>
    <t>Rise Up &amp; Do It Business Ent</t>
  </si>
  <si>
    <t>Mahlaba Advancement Dynamics</t>
  </si>
  <si>
    <t>Kalahari Stretch Tents</t>
  </si>
  <si>
    <t>Customer feedback service</t>
  </si>
  <si>
    <t>01/11/2016</t>
  </si>
  <si>
    <t>31/10/2018</t>
  </si>
  <si>
    <t>Rendering of customer feedback services for the department information centre.</t>
  </si>
  <si>
    <t>Review proposed nuclear sites</t>
  </si>
  <si>
    <t>01/07/2008</t>
  </si>
  <si>
    <t>Till work is completed</t>
  </si>
  <si>
    <t>Professional Services</t>
  </si>
  <si>
    <t>Inception phase report</t>
  </si>
  <si>
    <t>L Garlipp</t>
  </si>
  <si>
    <t>20/12/2017</t>
  </si>
  <si>
    <t>19/11/2018</t>
  </si>
  <si>
    <t>Verification of qualifications</t>
  </si>
  <si>
    <t>Verification</t>
  </si>
  <si>
    <t>D Vukela</t>
  </si>
  <si>
    <t>Review and update of Master System Plan (MSP)</t>
  </si>
  <si>
    <t>Facilitation of fundisa for change teacher training in East London</t>
  </si>
  <si>
    <t>17-21 July 2017</t>
  </si>
  <si>
    <t>5 days</t>
  </si>
  <si>
    <t>Facilitator</t>
  </si>
  <si>
    <t>T Mathibe</t>
  </si>
  <si>
    <t>Co-funding for informal waste picker intergration project.</t>
  </si>
  <si>
    <t>Implementation and research development and innovation waste roadmap: research for intergration of waste pickers into municipal system.</t>
  </si>
  <si>
    <t>Motivational speaker for DLN</t>
  </si>
  <si>
    <t>Tracing agent</t>
  </si>
  <si>
    <t>Social return on investment analysis inception and final report.</t>
  </si>
  <si>
    <t>Literature review report</t>
  </si>
  <si>
    <t>14/06/2017</t>
  </si>
  <si>
    <t>13/05/2018</t>
  </si>
  <si>
    <t>Service provider to compile the 3rd SAEO synthesis report for the branch EAS</t>
  </si>
  <si>
    <t>Extraction of harmful substances analysis report for labs</t>
  </si>
  <si>
    <t>A Johnson</t>
  </si>
  <si>
    <t>Transportation of hired equipment</t>
  </si>
  <si>
    <t>T Ntloko</t>
  </si>
  <si>
    <t>Motivational speaker</t>
  </si>
  <si>
    <t>No Internal capacity</t>
  </si>
  <si>
    <t>Motivational speaker for Bio strategic plan</t>
  </si>
  <si>
    <t>L Ditshego</t>
  </si>
  <si>
    <t>N Mkhize</t>
  </si>
  <si>
    <t>Development of business plan to establish a suitable commercial venture on Aloe ferox the uMzimkhulu KZN.</t>
  </si>
  <si>
    <t>21/07/2017</t>
  </si>
  <si>
    <t>8 months</t>
  </si>
  <si>
    <t>N feltman</t>
  </si>
  <si>
    <t>Aquaculture adendum</t>
  </si>
  <si>
    <t>Operation Phakisa Aquaculture programme</t>
  </si>
  <si>
    <t>M Swift</t>
  </si>
  <si>
    <t>M AND l Laboratory Services Pty Ltd</t>
  </si>
  <si>
    <t>Micro analysis</t>
  </si>
  <si>
    <t>SANS 241 micro and chemicals water analysis.</t>
  </si>
  <si>
    <t>Tshiqi Zebediela Inc</t>
  </si>
  <si>
    <t>MPH Geospace Pty Ltd</t>
  </si>
  <si>
    <t>Enterprises University of Pretoria</t>
  </si>
  <si>
    <t>Monthle Jooma Sabdia</t>
  </si>
  <si>
    <t>Walter Sisulu University</t>
  </si>
  <si>
    <t>SRK Consulting Engineers &amp; Science</t>
  </si>
  <si>
    <t>North West University</t>
  </si>
  <si>
    <t>Urban Econ Development Economics</t>
  </si>
  <si>
    <t>Kyle Business Projects</t>
  </si>
  <si>
    <t>GA Environment</t>
  </si>
  <si>
    <t>Mutangwa Group of Companies</t>
  </si>
  <si>
    <t>Mamadi Sustainability</t>
  </si>
  <si>
    <t>Dihlashana Consulting Corporation</t>
  </si>
  <si>
    <t>Independent Cranes</t>
  </si>
  <si>
    <t>Gobingca Engineers</t>
  </si>
  <si>
    <t>XNI Trading &amp; Projects</t>
  </si>
  <si>
    <t>No intrenal capacity</t>
  </si>
  <si>
    <t>Review of legislation and other legal documents.</t>
  </si>
  <si>
    <t>04/09/2017</t>
  </si>
  <si>
    <t>03/09/2020</t>
  </si>
  <si>
    <t>3 yrs</t>
  </si>
  <si>
    <t>M Abader</t>
  </si>
  <si>
    <t>Nationl framework review</t>
  </si>
  <si>
    <t>15/09/2017</t>
  </si>
  <si>
    <t>14/05/2018</t>
  </si>
  <si>
    <t>Undertaking of an independent review of the 2012 national framework for Air Quality Management</t>
  </si>
  <si>
    <t>Profile development and analysis of maps.</t>
  </si>
  <si>
    <t>Municipal Environmental profiles for 44 district municipalities.</t>
  </si>
  <si>
    <t>N Ntshabele</t>
  </si>
  <si>
    <t>Waste licencing</t>
  </si>
  <si>
    <t>inception report</t>
  </si>
  <si>
    <t>27/09/2017</t>
  </si>
  <si>
    <t>26/08/2018</t>
  </si>
  <si>
    <t>Revise guidelines for the administration of incidents as complated in section 30 of NEMA.</t>
  </si>
  <si>
    <t>I Abader</t>
  </si>
  <si>
    <t>Feasibility study Andover Nature Reserve</t>
  </si>
  <si>
    <t>Situational anaysisi report phase 1</t>
  </si>
  <si>
    <t>08/09/2017</t>
  </si>
  <si>
    <t>10/03/2018</t>
  </si>
  <si>
    <t>6 months</t>
  </si>
  <si>
    <t>Legal services</t>
  </si>
  <si>
    <t>Reviewing pleadings and supplementary heads.</t>
  </si>
  <si>
    <t>A Van Niekerk</t>
  </si>
  <si>
    <t>Reburbish of Antartic snow sledges</t>
  </si>
  <si>
    <t>02/10/2017</t>
  </si>
  <si>
    <t>01/11/2017 1 month</t>
  </si>
  <si>
    <t>T Rambau</t>
  </si>
  <si>
    <t>Review of national programme</t>
  </si>
  <si>
    <t>01/01/2018</t>
  </si>
  <si>
    <t>3 months</t>
  </si>
  <si>
    <t>N Cobbinah</t>
  </si>
  <si>
    <t>Isipho Services</t>
  </si>
  <si>
    <t>Major service of the freezer room charger</t>
  </si>
  <si>
    <t>Waste tyre management indusrty participants</t>
  </si>
  <si>
    <t>10/05/2017</t>
  </si>
  <si>
    <t>09/05/2020</t>
  </si>
  <si>
    <t>N Tetyana</t>
  </si>
  <si>
    <t>30/09/2018</t>
  </si>
  <si>
    <t>18 months</t>
  </si>
  <si>
    <t>M Mogotsi</t>
  </si>
  <si>
    <t>Compilation of the concept document including meetings</t>
  </si>
  <si>
    <t>Conduct a study on the status quo and policy options for seperation of waste at source.</t>
  </si>
  <si>
    <t>T Gordon</t>
  </si>
  <si>
    <t>Operational costs on the establishment and maintainance of National Pollution Laboratory</t>
  </si>
  <si>
    <t>J Beaumont</t>
  </si>
  <si>
    <t>Krattay</t>
  </si>
  <si>
    <t>Rem Laboratory and Environment</t>
  </si>
  <si>
    <t>Careways Wellness</t>
  </si>
  <si>
    <t>The Paul Haigh Partnership</t>
  </si>
  <si>
    <t>University of Cape Town</t>
  </si>
  <si>
    <t>Luzana Civils and Building Trust</t>
  </si>
  <si>
    <t>University of Venda</t>
  </si>
  <si>
    <t>Spill Tech Pty Ltd</t>
  </si>
  <si>
    <t>Datacentrix Pretoria</t>
  </si>
  <si>
    <t>Anchor Industries</t>
  </si>
  <si>
    <t>Tirommoho Communications CC</t>
  </si>
  <si>
    <t>Evaluation of documents submitted for the environmental impact assessment for the proposed nuclear power stations as well as appeals that could be lodged against te department authorization.</t>
  </si>
  <si>
    <t>Motivational speech EPIP strategic planning session</t>
  </si>
  <si>
    <t>L Mlilo</t>
  </si>
  <si>
    <t>02/11/2017</t>
  </si>
  <si>
    <t>01/06/2018</t>
  </si>
  <si>
    <t>Draft report on legislation impacting on construcyion and demlotion waste</t>
  </si>
  <si>
    <t>Determination of management options for construction and demolition waste and factors that influence recycling behaviosof construction and demolition waste generators and the manufactures inSouth Africa.</t>
  </si>
  <si>
    <t>O Baloyi</t>
  </si>
  <si>
    <t>Employee health and wellness services</t>
  </si>
  <si>
    <t>01/06/2017</t>
  </si>
  <si>
    <t>31/05/2018</t>
  </si>
  <si>
    <t>Analysis of water</t>
  </si>
  <si>
    <t>Invigilation and assessment</t>
  </si>
  <si>
    <t>T Mathiba</t>
  </si>
  <si>
    <t>DEA EDMS upgrade programme.</t>
  </si>
  <si>
    <t>13/11/2017</t>
  </si>
  <si>
    <t>12/06/2019</t>
  </si>
  <si>
    <t>20 months</t>
  </si>
  <si>
    <t>R Harrikaran</t>
  </si>
  <si>
    <t>Green Skills Academy</t>
  </si>
  <si>
    <t>SUMMARY OF EXPENDITURE:  CONSULTANTS, CONTRACTORS AND ADVISORY SERVICES FOR THE PERIOD 01 APRIL 2017 - 31 MARCH 2018</t>
  </si>
  <si>
    <t>Cape Peninsula University of Technology</t>
  </si>
  <si>
    <t>ECPTA</t>
  </si>
  <si>
    <t>Envitech Ltd</t>
  </si>
  <si>
    <t>Agricultural Research Council</t>
  </si>
  <si>
    <t>Palmer Development Group</t>
  </si>
  <si>
    <t>Ecometrix Africa</t>
  </si>
  <si>
    <t>Linkd Environmental Services</t>
  </si>
  <si>
    <t>Ajua Environmental Consultants</t>
  </si>
  <si>
    <t>South African Sugarcane Research</t>
  </si>
  <si>
    <t>Nemal Consulting</t>
  </si>
  <si>
    <t>Ryder Link Pty Ltd</t>
  </si>
  <si>
    <t>Africa Rising Advisry Services</t>
  </si>
  <si>
    <t>Biddulphs International</t>
  </si>
  <si>
    <t>Ford</t>
  </si>
  <si>
    <t>Delivering of Cars to the department</t>
  </si>
  <si>
    <t>South African Police Services</t>
  </si>
  <si>
    <t>Upgrading the South African Air Quality Information System (SAAQIS), Data management system and implement an online asset management system for all government owned air quality monitoring stations in South Africa</t>
  </si>
  <si>
    <t>09/05/2017</t>
  </si>
  <si>
    <t>08/05/2018</t>
  </si>
  <si>
    <t>Inception report 3rd national waste management strategy project charter</t>
  </si>
  <si>
    <t>21/11/2017</t>
  </si>
  <si>
    <t>20/10/2018</t>
  </si>
  <si>
    <t>Development of the 3rd national waste management strategy project charter for South Afica</t>
  </si>
  <si>
    <t>Nemorango Consulting Engineers</t>
  </si>
  <si>
    <t>Development of the design, construction and supervision of 8km asbestos free road in Mafefe and 5 asbestos free classrooms in Sealane Primary School Limpopo Province.</t>
  </si>
  <si>
    <t>01/4/2017</t>
  </si>
  <si>
    <t>Study on waste to energy for purposes of formulating a policy position for South Africa.</t>
  </si>
  <si>
    <t>20/11/2017</t>
  </si>
  <si>
    <t>19/04/2018</t>
  </si>
  <si>
    <t>5 months</t>
  </si>
  <si>
    <t>Finalisations of designs, construction and supervision of the paving of Ga-Mopedi Primary School. Construction of asbestos free community sports ground and fence at Ga-Mopedi in the Northern Cape Province</t>
  </si>
  <si>
    <t>13/12/2017</t>
  </si>
  <si>
    <t>12/11/2018</t>
  </si>
  <si>
    <t>05/06/2017</t>
  </si>
  <si>
    <t>04/02/2018</t>
  </si>
  <si>
    <t>Conducting research and development on phase2 desertification, land degradation and drought relating to land productivity progress indicator of the United Nations Convention to combat desertification as part of the drylands research programme of South Africa.</t>
  </si>
  <si>
    <t>Conduct research on educational and occupational pathways for the Expanded Public Works Programme participants of the Environmetal Programmes.</t>
  </si>
  <si>
    <t>3/11/2017</t>
  </si>
  <si>
    <t>02/07/2018</t>
  </si>
  <si>
    <t>Removal of dispersant in tanktainers.</t>
  </si>
  <si>
    <t>DEA contribution to Rhino programme</t>
  </si>
  <si>
    <t>Load testing of handling equipment</t>
  </si>
  <si>
    <t>Analysis of the isotape samples collected on the Cape Canyon cruise in March 2017</t>
  </si>
  <si>
    <t>H Oosthuizen</t>
  </si>
  <si>
    <t>Operational costs for MPA management</t>
  </si>
  <si>
    <t>30/11/2017</t>
  </si>
  <si>
    <t>29/11/2022</t>
  </si>
  <si>
    <t>5 yers</t>
  </si>
  <si>
    <t>N Essack</t>
  </si>
  <si>
    <t>Motivational speaker for DLN in Cape own</t>
  </si>
  <si>
    <t>10/01/2018</t>
  </si>
  <si>
    <t>09/07/2018</t>
  </si>
  <si>
    <t>Protection and security services.</t>
  </si>
  <si>
    <t>G Gcanga</t>
  </si>
  <si>
    <t>Removal of furniture</t>
  </si>
  <si>
    <t>S Bapela</t>
  </si>
  <si>
    <t>Game capture services</t>
  </si>
  <si>
    <t>K Matibe</t>
  </si>
  <si>
    <t>15/12/2017</t>
  </si>
  <si>
    <t>14/08/2018</t>
  </si>
  <si>
    <t>Feasibility of implementing a landfill disposal tax as a deterrent t divert waste away from landfill.</t>
  </si>
  <si>
    <t>Report</t>
  </si>
  <si>
    <t>Inventory in South Africa using United Nations Environment Programme level two toolkit for the identification and qualification of mercury and cost-benefit analysis of the implication of South Africa ratifying the minamata cnvention on mercury for relevant affected sectors and industries.</t>
  </si>
  <si>
    <t>N Gwayi</t>
  </si>
  <si>
    <t>Inception meeting and report submitted</t>
  </si>
  <si>
    <t>07/06/2017</t>
  </si>
  <si>
    <t>06/12/2017</t>
  </si>
  <si>
    <t>Rearing, supplyingand releasing a biolgical agents for invasive alien plants.</t>
  </si>
  <si>
    <t>N Ngcobo</t>
  </si>
  <si>
    <t>Feasibility study</t>
  </si>
  <si>
    <t>12/05/2018</t>
  </si>
  <si>
    <t>Research work done under the CPUT/DEA agreement</t>
  </si>
  <si>
    <t>17/03/2017</t>
  </si>
  <si>
    <t>16/05/2017</t>
  </si>
  <si>
    <t>Measures of the economic contribution of South Africa's Ocean resources.</t>
  </si>
  <si>
    <t>PROGRAMME 1:    ADMINISTRATION</t>
  </si>
  <si>
    <t>PROGRAMME 5: BIODIVERSITY &amp; CONSERVATION</t>
  </si>
  <si>
    <t>PROGRAMME 7: CHEMICALS &amp; WASTE MANAGEMENT</t>
  </si>
  <si>
    <t>Mckinsey and Company Africa</t>
  </si>
  <si>
    <t>Waste Bureau management team</t>
  </si>
  <si>
    <t xml:space="preserve">Assist with the development of 4 municipal integrated waste plans </t>
  </si>
  <si>
    <t>Manage waste management licence applications for unlicenced municipal waste activities in various provinces (South Africa)</t>
  </si>
  <si>
    <t>Assist the department in the implementation and operationalisation of the Waste Management Bureau.</t>
  </si>
  <si>
    <t>Legal advise</t>
  </si>
  <si>
    <t>Assist the waste bureau with contract negotiatons and contract management in its operations relating to the management of waste tyres.</t>
  </si>
  <si>
    <t>Laptop screen repairs</t>
  </si>
  <si>
    <t>medical services</t>
  </si>
  <si>
    <t>Management of payment of operators, transporters, collectors in the waste tyre industry under the Waste Management Bureau across the country</t>
  </si>
  <si>
    <t>Transportation of waste tyres to Tyre depots</t>
  </si>
  <si>
    <t>DNA barcoding which assists the department in checking the status of compliance with the alien and invasive species regulations. Both at the port of entry and border posts.</t>
  </si>
  <si>
    <t>Socio economic and environmental impact evaluation of people and parks programme.</t>
  </si>
  <si>
    <t>Appointment of centre for invassion biology at University of Stellenbosch.</t>
  </si>
  <si>
    <t>Conduct research on educational and occupational pathways for the Expanded Public Works Programme participants of the Environmental Programmes.</t>
  </si>
  <si>
    <t>Rearing, supplying and releasing of biological agents for invasive alien plants.</t>
  </si>
  <si>
    <t>Assisting the department in development of an education for sustainable development training module for the Expanded Public Works Programme projects.</t>
  </si>
  <si>
    <t>Transport cost for delivering of food (catering)</t>
  </si>
  <si>
    <t>Inventory and database baseline information for Genetic Modified crops</t>
  </si>
  <si>
    <t>Developing of management effectiveness tracking tool(METT) for South Africa's Ramsar Sites and incorporating it into he existing protected areas METT-SA 03 as part of SA response to the Ramsar Conventions resolutions of the chapter 3 of the national environmental management act 1998</t>
  </si>
  <si>
    <t>Undertaking facilitation for a consultative workshop between government and iSimangaliso community stakeholders for rapid scoping of potential projects to promote socio economic development in the northern section of the iSimangaliso Wetland Park in Umhlabuyalingana municipality, KZN</t>
  </si>
  <si>
    <t>Conduct skills audit, identify business opportunities and develop training programmes for selected communities surrounding protected areas.</t>
  </si>
  <si>
    <t>Development and implementation of a targeted and inter active digital marketing and social media campaign for TFCA.</t>
  </si>
  <si>
    <t>Collation and compilation of an online friendly and easy read investor catalogue to profile Bio-Prospecting and Wildlife Economy Program.</t>
  </si>
  <si>
    <t>Development of business plan to establish a suitable commercial venture on Aloe ferox in the uMzimkhulu KZN.</t>
  </si>
  <si>
    <t>Review of South Africa's revised national action programme to combat desertification, land degradation and to mitigate the effects of drought of the United Nations convention to combat desertification.</t>
  </si>
  <si>
    <t>Conduct feasibility study to determine the optimal economic benefits that communities can derive from their communal areas and for the development of associated business plans for the northen cape province at the Richtersveld National Park.</t>
  </si>
  <si>
    <t>Legal Advise</t>
  </si>
  <si>
    <t xml:space="preserve">3rd Biodiversity economy indaba concept </t>
  </si>
  <si>
    <t>Protection and security services for the seventeenth meeting of the conference of parties to the convention on international trade in endangered species of wild fauna and flora in Johannesburg Sandton Convention Centre.</t>
  </si>
  <si>
    <t>NAEIS hosting &amp; technical support services, maintenance and support</t>
  </si>
  <si>
    <t>Consultancy services on a rotating basis in respect of work to be done for the regulating committee for meteorological services</t>
  </si>
  <si>
    <t>Conduct a techical compilation of the 2015 state of air report for South Africa</t>
  </si>
  <si>
    <t>Support the implementation of the Branch CCA&amp;AQM annual performance plan</t>
  </si>
  <si>
    <t>Commissioner of enquiry committee members</t>
  </si>
  <si>
    <t>Limited Internal Capacity</t>
  </si>
  <si>
    <t>Maintenance</t>
  </si>
  <si>
    <t>Maintenance and repairs</t>
  </si>
  <si>
    <t>Mainteianace</t>
  </si>
  <si>
    <t>Development of estaurine management plan for Richards Bay estuary</t>
  </si>
  <si>
    <t>Port St Johns beach infrastructure designs</t>
  </si>
  <si>
    <t>Analysis of the isotope samples collected on the Cape Canyon cruise in March 2017</t>
  </si>
  <si>
    <t>Operational costs for MPA management in Pondoland, Hluleka, Dwesa Cwebe and Amathole.</t>
  </si>
  <si>
    <t>Ship operating maintenance.</t>
  </si>
  <si>
    <t>Maintenance of air conditioners</t>
  </si>
  <si>
    <t>Repairs to damaged hyrolic outtrigger</t>
  </si>
  <si>
    <t>Reburbishment of Antartic snow sledges</t>
  </si>
  <si>
    <t>Management fees for the vessels</t>
  </si>
  <si>
    <t>Evaluate the documentation submitted for the environmental impact assessment for the proposed nuclear power stations as well as appeals that could be lodged against the department.</t>
  </si>
  <si>
    <t>Undertake an independant investigation of the underlying causes of non compliance by organs of the state with the provision of Chapter 3 of National Environment Management Act</t>
  </si>
  <si>
    <t>Provision of expert evidence in criminal proceedings to support the state's criminal case - State vs Solid Waste Technolgies Pty Ltd</t>
  </si>
  <si>
    <t>Relocation cost of new employee from Stanger to Pretoria</t>
  </si>
  <si>
    <t>Re-development of the existing enviro indicators portal</t>
  </si>
  <si>
    <t>Enterprise licencing for GIS software</t>
  </si>
  <si>
    <t>Development of minimum standards for the consideration of Environmental Aspects for the preparation of review of spatial development frameworks.</t>
  </si>
  <si>
    <t>Business re-engineering process for local gov support models &amp; municipal models for environmental perfomance.</t>
  </si>
  <si>
    <t>Conduct the co-sourced internal audit service at the branch COO</t>
  </si>
  <si>
    <t>Train case officers from the 11 competent authorities in IEM with the focus on their view of application submitted in terms of the environmental impact assessment regulations of 2014 promulgated in terms of NEMA, no.108 of 1998 as amended.</t>
  </si>
  <si>
    <t>Provision of server infrastructure solution and hardware, software and related support and maintenance to host the online GIS based environmental screening application.</t>
  </si>
  <si>
    <t>M13 transaction advisors: canteen,conference centre, parking, office space:DEA PPP green building project,</t>
  </si>
  <si>
    <t>Skills development  and skills development programme</t>
  </si>
  <si>
    <t>Water analysis</t>
  </si>
  <si>
    <t xml:space="preserve">Maintenance </t>
  </si>
  <si>
    <t>Youth development and career Expo awareness event.</t>
  </si>
  <si>
    <t>Massage for Waste Bureau employees as they work under lots of pressure.</t>
  </si>
  <si>
    <t>Exam invigilation for environmental science technicians learnership</t>
  </si>
  <si>
    <t>TOTAL EXPENDITURE PER PROG  FROM APRIL 2017 - MARCH 2018</t>
  </si>
  <si>
    <t>Annexure 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</si>
</sst>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00"/>
  </numFmts>
  <fonts count="15" x14ac:knownFonts="1">
    <font>
      <sz val="11"/>
      <color theme="1"/>
      <name val="Calibri"/>
      <family val="2"/>
      <scheme val="minor"/>
    </font>
    <font>
      <b/>
      <sz val="14"/>
      <color theme="1"/>
      <name val="Calibri"/>
      <family val="2"/>
      <scheme val="minor"/>
    </font>
    <font>
      <sz val="14"/>
      <color theme="1"/>
      <name val="Arial"/>
      <family val="2"/>
    </font>
    <font>
      <sz val="14"/>
      <name val="Arial"/>
      <family val="2"/>
    </font>
    <font>
      <sz val="14"/>
      <color theme="1"/>
      <name val="Calibri"/>
      <family val="2"/>
      <scheme val="minor"/>
    </font>
    <font>
      <b/>
      <sz val="14"/>
      <color theme="1"/>
      <name val="Arial"/>
      <family val="2"/>
    </font>
    <font>
      <b/>
      <sz val="14"/>
      <name val="Arial"/>
      <family val="2"/>
    </font>
    <font>
      <b/>
      <sz val="16"/>
      <color theme="1"/>
      <name val="Arial"/>
      <family val="2"/>
    </font>
    <font>
      <b/>
      <sz val="16"/>
      <color theme="1"/>
      <name val="Calibri"/>
      <family val="2"/>
      <scheme val="minor"/>
    </font>
    <font>
      <b/>
      <sz val="16"/>
      <name val="Arial"/>
      <family val="2"/>
    </font>
    <font>
      <sz val="16"/>
      <color theme="1"/>
      <name val="Arial"/>
      <family val="2"/>
    </font>
    <font>
      <b/>
      <sz val="18"/>
      <color theme="1"/>
      <name val="Calibri"/>
      <family val="2"/>
      <scheme val="minor"/>
    </font>
    <font>
      <sz val="18"/>
      <color theme="1"/>
      <name val="Calibri"/>
      <family val="2"/>
      <scheme val="minor"/>
    </font>
    <font>
      <sz val="11"/>
      <color theme="1"/>
      <name val="Calibri"/>
      <family val="2"/>
      <scheme val="minor"/>
    </font>
    <font>
      <b/>
      <sz val="2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C00000"/>
        <bgColor indexed="64"/>
      </patternFill>
    </fill>
    <fill>
      <patternFill patternType="solid">
        <fgColor theme="0" tint="-0.24994659260841701"/>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medium">
        <color indexed="64"/>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s>
  <cellStyleXfs count="2">
    <xf numFmtId="0" fontId="0" fillId="0" borderId="0"/>
    <xf numFmtId="164" fontId="13" fillId="0" borderId="0" applyFont="0" applyFill="0" applyBorder="0" applyAlignment="0" applyProtection="0"/>
  </cellStyleXfs>
  <cellXfs count="292">
    <xf numFmtId="0" fontId="0" fillId="0" borderId="0" xfId="0"/>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9"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4" fontId="2" fillId="2" borderId="1" xfId="0" applyNumberFormat="1" applyFont="1" applyFill="1" applyBorder="1" applyAlignment="1">
      <alignment vertical="top" wrapText="1"/>
    </xf>
    <xf numFmtId="0" fontId="3" fillId="2" borderId="1" xfId="0" applyFont="1" applyFill="1" applyBorder="1" applyAlignment="1">
      <alignment horizontal="center" vertical="top" wrapText="1"/>
    </xf>
    <xf numFmtId="4" fontId="3" fillId="2"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left" vertical="top"/>
    </xf>
    <xf numFmtId="0" fontId="2" fillId="0" borderId="1" xfId="0" applyFont="1" applyBorder="1" applyAlignment="1">
      <alignment vertical="top" wrapText="1"/>
    </xf>
    <xf numFmtId="9" fontId="2" fillId="0" borderId="1" xfId="0" applyNumberFormat="1" applyFont="1" applyBorder="1" applyAlignment="1">
      <alignment horizontal="center" vertical="top" wrapText="1"/>
    </xf>
    <xf numFmtId="4"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0" fontId="2" fillId="2" borderId="0" xfId="0" applyFont="1" applyFill="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top"/>
    </xf>
    <xf numFmtId="0" fontId="2" fillId="0" borderId="0" xfId="0" applyFont="1" applyAlignment="1">
      <alignment vertical="top"/>
    </xf>
    <xf numFmtId="0" fontId="5" fillId="0" borderId="1" xfId="0" applyFont="1" applyBorder="1" applyAlignment="1">
      <alignment horizontal="left" vertical="top" wrapText="1"/>
    </xf>
    <xf numFmtId="0" fontId="2" fillId="0" borderId="1" xfId="0" applyFont="1" applyBorder="1" applyAlignment="1">
      <alignment horizontal="left" vertical="top"/>
    </xf>
    <xf numFmtId="17" fontId="2" fillId="0" borderId="1" xfId="0" applyNumberFormat="1" applyFont="1" applyBorder="1" applyAlignment="1">
      <alignment horizontal="left" vertical="top" wrapText="1"/>
    </xf>
    <xf numFmtId="15" fontId="2" fillId="0" borderId="1" xfId="0" applyNumberFormat="1" applyFont="1" applyBorder="1" applyAlignment="1">
      <alignment horizontal="left" vertical="top" wrapText="1"/>
    </xf>
    <xf numFmtId="0" fontId="2" fillId="0" borderId="1" xfId="0" applyFont="1" applyBorder="1" applyAlignment="1">
      <alignment horizontal="center" vertical="top"/>
    </xf>
    <xf numFmtId="0" fontId="2" fillId="0" borderId="1" xfId="0" applyFont="1" applyBorder="1" applyAlignment="1">
      <alignment vertical="top"/>
    </xf>
    <xf numFmtId="0" fontId="2" fillId="0" borderId="0" xfId="0" applyFont="1" applyFill="1" applyAlignment="1">
      <alignment vertical="top" wrapText="1"/>
    </xf>
    <xf numFmtId="0" fontId="5" fillId="2" borderId="1" xfId="0" applyFont="1" applyFill="1" applyBorder="1" applyAlignment="1">
      <alignment vertical="top" wrapText="1"/>
    </xf>
    <xf numFmtId="4" fontId="5" fillId="0" borderId="1" xfId="0" applyNumberFormat="1" applyFont="1" applyFill="1" applyBorder="1" applyAlignment="1">
      <alignment vertical="top" wrapText="1"/>
    </xf>
    <xf numFmtId="0" fontId="2" fillId="0" borderId="0" xfId="0" applyFont="1" applyAlignment="1">
      <alignment vertical="top" wrapText="1"/>
    </xf>
    <xf numFmtId="0" fontId="2" fillId="0" borderId="0" xfId="0" applyFont="1" applyBorder="1" applyAlignment="1">
      <alignment horizontal="left" vertical="top"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top" wrapText="1"/>
    </xf>
    <xf numFmtId="17" fontId="3" fillId="2"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10" fontId="2" fillId="0" borderId="1" xfId="0" applyNumberFormat="1" applyFont="1" applyBorder="1" applyAlignment="1">
      <alignment vertical="top" wrapText="1"/>
    </xf>
    <xf numFmtId="0" fontId="5" fillId="0" borderId="1" xfId="0" applyFont="1" applyBorder="1" applyAlignment="1">
      <alignment vertical="top" wrapText="1"/>
    </xf>
    <xf numFmtId="0" fontId="5" fillId="0" borderId="0" xfId="0" applyFont="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4" fontId="2" fillId="0" borderId="0" xfId="0" applyNumberFormat="1" applyFont="1" applyFill="1" applyBorder="1" applyAlignment="1">
      <alignment vertical="top" wrapText="1"/>
    </xf>
    <xf numFmtId="0" fontId="5" fillId="0" borderId="0" xfId="0" applyFont="1" applyAlignment="1">
      <alignment vertical="top" wrapText="1"/>
    </xf>
    <xf numFmtId="0" fontId="6" fillId="0" borderId="1" xfId="0" applyFont="1" applyBorder="1" applyAlignment="1">
      <alignment vertical="top" wrapText="1"/>
    </xf>
    <xf numFmtId="0" fontId="3" fillId="0" borderId="1" xfId="0" applyFont="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horizontal="left" vertical="top" wrapText="1"/>
    </xf>
    <xf numFmtId="4" fontId="5" fillId="0" borderId="0" xfId="0" applyNumberFormat="1" applyFont="1" applyAlignment="1">
      <alignment horizontal="left" vertical="top"/>
    </xf>
    <xf numFmtId="4" fontId="2" fillId="0" borderId="0" xfId="0" applyNumberFormat="1" applyFont="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xf>
    <xf numFmtId="4" fontId="2" fillId="0" borderId="0" xfId="0" applyNumberFormat="1" applyFont="1" applyAlignment="1">
      <alignment horizontal="center" vertical="top"/>
    </xf>
    <xf numFmtId="14" fontId="2" fillId="0" borderId="0" xfId="0" applyNumberFormat="1" applyFont="1" applyAlignment="1">
      <alignment horizontal="center" vertical="top"/>
    </xf>
    <xf numFmtId="14" fontId="2" fillId="0" borderId="0" xfId="0" applyNumberFormat="1" applyFont="1" applyAlignment="1">
      <alignment horizontal="left" vertical="top"/>
    </xf>
    <xf numFmtId="0" fontId="5" fillId="2" borderId="0" xfId="0" applyFont="1" applyFill="1" applyAlignment="1">
      <alignment vertical="top"/>
    </xf>
    <xf numFmtId="0" fontId="2" fillId="2" borderId="0" xfId="0" applyFont="1" applyFill="1" applyAlignment="1">
      <alignment vertical="top"/>
    </xf>
    <xf numFmtId="4" fontId="5" fillId="0" borderId="1" xfId="0" applyNumberFormat="1" applyFont="1" applyBorder="1" applyAlignment="1">
      <alignment vertical="top"/>
    </xf>
    <xf numFmtId="9" fontId="2" fillId="2" borderId="1" xfId="0" applyNumberFormat="1" applyFont="1" applyFill="1" applyBorder="1" applyAlignment="1">
      <alignment vertical="top" wrapText="1"/>
    </xf>
    <xf numFmtId="17" fontId="3" fillId="0" borderId="1" xfId="0" applyNumberFormat="1" applyFont="1" applyFill="1" applyBorder="1" applyAlignment="1">
      <alignment horizontal="left" vertical="top" wrapText="1"/>
    </xf>
    <xf numFmtId="9" fontId="2" fillId="0" borderId="1" xfId="0" applyNumberFormat="1" applyFont="1" applyFill="1" applyBorder="1" applyAlignment="1">
      <alignment vertical="top" wrapText="1"/>
    </xf>
    <xf numFmtId="4" fontId="2" fillId="0" borderId="1" xfId="0" applyNumberFormat="1" applyFont="1" applyFill="1" applyBorder="1" applyAlignment="1">
      <alignment horizontal="right" vertical="top" wrapText="1"/>
    </xf>
    <xf numFmtId="4" fontId="2" fillId="2" borderId="1" xfId="0" applyNumberFormat="1" applyFont="1" applyFill="1" applyBorder="1" applyAlignment="1">
      <alignment horizontal="right" vertical="top" wrapText="1"/>
    </xf>
    <xf numFmtId="0" fontId="2" fillId="6" borderId="0" xfId="0" applyFont="1" applyFill="1" applyAlignment="1">
      <alignment vertical="top" wrapText="1"/>
    </xf>
    <xf numFmtId="17" fontId="2" fillId="2" borderId="7"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4" fontId="5" fillId="3" borderId="1" xfId="0" applyNumberFormat="1" applyFont="1" applyFill="1" applyBorder="1" applyAlignment="1">
      <alignment vertical="top" wrapText="1"/>
    </xf>
    <xf numFmtId="16" fontId="3" fillId="0" borderId="1"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4" fontId="2" fillId="0" borderId="1" xfId="0" applyNumberFormat="1" applyFont="1" applyFill="1" applyBorder="1" applyAlignment="1">
      <alignment horizontal="left" vertical="top" wrapText="1"/>
    </xf>
    <xf numFmtId="4" fontId="3" fillId="0" borderId="1" xfId="0" applyNumberFormat="1" applyFont="1" applyBorder="1" applyAlignment="1">
      <alignment vertical="top" wrapText="1"/>
    </xf>
    <xf numFmtId="17" fontId="3" fillId="0" borderId="7" xfId="0" applyNumberFormat="1" applyFont="1" applyFill="1" applyBorder="1" applyAlignment="1">
      <alignment horizontal="left" vertical="top" wrapText="1"/>
    </xf>
    <xf numFmtId="9" fontId="2" fillId="0" borderId="7" xfId="0" applyNumberFormat="1" applyFont="1" applyFill="1" applyBorder="1" applyAlignment="1">
      <alignment horizontal="center" vertical="top" wrapText="1"/>
    </xf>
    <xf numFmtId="4" fontId="6" fillId="3" borderId="1" xfId="0" applyNumberFormat="1"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wrapText="1"/>
    </xf>
    <xf numFmtId="0" fontId="2" fillId="2" borderId="6" xfId="0" applyFont="1" applyFill="1" applyBorder="1" applyAlignment="1">
      <alignment horizontal="left" vertical="top"/>
    </xf>
    <xf numFmtId="9" fontId="2" fillId="2" borderId="1" xfId="0" applyNumberFormat="1" applyFont="1" applyFill="1" applyBorder="1" applyAlignment="1">
      <alignment horizontal="left" vertical="top" wrapText="1"/>
    </xf>
    <xf numFmtId="9" fontId="2" fillId="0" borderId="1" xfId="0" applyNumberFormat="1" applyFont="1" applyFill="1" applyBorder="1" applyAlignment="1">
      <alignment horizontal="left" vertical="top" wrapText="1"/>
    </xf>
    <xf numFmtId="4" fontId="2" fillId="0" borderId="0" xfId="0" applyNumberFormat="1" applyFont="1" applyAlignment="1">
      <alignment vertical="top"/>
    </xf>
    <xf numFmtId="0" fontId="5" fillId="0" borderId="0" xfId="0" applyFont="1" applyFill="1" applyBorder="1" applyAlignment="1">
      <alignment vertical="top" wrapText="1"/>
    </xf>
    <xf numFmtId="0" fontId="2" fillId="0" borderId="0" xfId="0" applyFont="1"/>
    <xf numFmtId="0" fontId="4" fillId="0" borderId="0" xfId="0" applyFont="1"/>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Fill="1" applyBorder="1" applyAlignment="1">
      <alignment horizontal="left" vertical="top"/>
    </xf>
    <xf numFmtId="0" fontId="3" fillId="2" borderId="0" xfId="0" applyFont="1" applyFill="1" applyBorder="1" applyAlignment="1">
      <alignment horizontal="left" vertical="top" wrapText="1"/>
    </xf>
    <xf numFmtId="9" fontId="2" fillId="0" borderId="0" xfId="0" applyNumberFormat="1" applyFont="1" applyBorder="1" applyAlignment="1">
      <alignment horizontal="center"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center" vertical="top" wrapText="1"/>
    </xf>
    <xf numFmtId="0" fontId="2" fillId="2" borderId="0" xfId="0" applyFont="1" applyFill="1" applyBorder="1" applyAlignment="1">
      <alignment vertical="top" wrapText="1"/>
    </xf>
    <xf numFmtId="0" fontId="5" fillId="2" borderId="0" xfId="0" applyFont="1" applyFill="1" applyBorder="1" applyAlignment="1">
      <alignment horizontal="center" vertical="top" wrapText="1"/>
    </xf>
    <xf numFmtId="0" fontId="2" fillId="0" borderId="0" xfId="0" applyFont="1" applyFill="1" applyBorder="1" applyAlignment="1">
      <alignment horizontal="center" vertical="top" wrapText="1"/>
    </xf>
    <xf numFmtId="9" fontId="2" fillId="0" borderId="0" xfId="0" applyNumberFormat="1" applyFont="1" applyFill="1" applyBorder="1" applyAlignment="1">
      <alignment horizontal="center" vertical="top" wrapText="1"/>
    </xf>
    <xf numFmtId="0" fontId="2" fillId="2" borderId="0" xfId="0" applyFont="1" applyFill="1" applyBorder="1" applyAlignment="1">
      <alignment horizontal="left" vertical="top"/>
    </xf>
    <xf numFmtId="9" fontId="2" fillId="2" borderId="0" xfId="0" applyNumberFormat="1" applyFont="1" applyFill="1" applyBorder="1" applyAlignment="1">
      <alignment horizontal="center" vertical="top" wrapText="1"/>
    </xf>
    <xf numFmtId="0" fontId="3" fillId="0" borderId="0" xfId="0" applyFont="1" applyFill="1" applyBorder="1" applyAlignment="1">
      <alignment vertical="top" wrapText="1"/>
    </xf>
    <xf numFmtId="0" fontId="3" fillId="2" borderId="0" xfId="0" applyFont="1" applyFill="1" applyBorder="1" applyAlignment="1">
      <alignment vertical="top" wrapText="1"/>
    </xf>
    <xf numFmtId="0" fontId="2" fillId="2" borderId="0" xfId="0" applyFont="1" applyFill="1" applyBorder="1" applyAlignment="1">
      <alignment horizontal="justify" vertical="top" wrapText="1"/>
    </xf>
    <xf numFmtId="0" fontId="5"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vertical="top" wrapText="1"/>
    </xf>
    <xf numFmtId="0" fontId="6" fillId="0" borderId="0" xfId="0" applyFont="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horizontal="left" vertical="top" wrapText="1"/>
    </xf>
    <xf numFmtId="4" fontId="5" fillId="0" borderId="0" xfId="0" applyNumberFormat="1" applyFont="1" applyBorder="1" applyAlignment="1">
      <alignment horizontal="left" vertical="top"/>
    </xf>
    <xf numFmtId="4" fontId="2" fillId="0" borderId="0" xfId="0" applyNumberFormat="1" applyFont="1" applyBorder="1" applyAlignment="1">
      <alignment horizontal="left" vertical="top"/>
    </xf>
    <xf numFmtId="0" fontId="3" fillId="0" borderId="0" xfId="0" applyFont="1" applyFill="1" applyBorder="1" applyAlignment="1">
      <alignment horizontal="center" vertical="top" wrapText="1"/>
    </xf>
    <xf numFmtId="0" fontId="3" fillId="0" borderId="0" xfId="0" applyFont="1" applyBorder="1" applyAlignment="1">
      <alignment vertical="top" wrapText="1"/>
    </xf>
    <xf numFmtId="4" fontId="2" fillId="0" borderId="0" xfId="0" applyNumberFormat="1" applyFont="1" applyBorder="1" applyAlignment="1">
      <alignment horizontal="center" vertical="top"/>
    </xf>
    <xf numFmtId="14" fontId="2" fillId="2" borderId="0" xfId="0" applyNumberFormat="1" applyFont="1" applyFill="1" applyBorder="1" applyAlignment="1">
      <alignment horizontal="left" vertical="top" wrapText="1"/>
    </xf>
    <xf numFmtId="14" fontId="2" fillId="0" borderId="0" xfId="0" applyNumberFormat="1" applyFont="1" applyBorder="1" applyAlignment="1">
      <alignment horizontal="left" vertical="top" wrapText="1"/>
    </xf>
    <xf numFmtId="0" fontId="2" fillId="7" borderId="0" xfId="0" applyFont="1" applyFill="1" applyBorder="1" applyAlignment="1">
      <alignment vertical="top" wrapText="1"/>
    </xf>
    <xf numFmtId="0" fontId="2" fillId="0" borderId="0" xfId="0" applyFont="1" applyFill="1" applyBorder="1" applyAlignment="1">
      <alignment horizontal="justify" vertical="top" wrapText="1"/>
    </xf>
    <xf numFmtId="0" fontId="3" fillId="2" borderId="0" xfId="0" applyFont="1" applyFill="1" applyBorder="1" applyAlignment="1">
      <alignment horizontal="center" vertical="top" wrapText="1"/>
    </xf>
    <xf numFmtId="17" fontId="3" fillId="2" borderId="0" xfId="0" applyNumberFormat="1" applyFont="1" applyFill="1" applyBorder="1" applyAlignment="1">
      <alignment horizontal="center" vertical="top" wrapText="1"/>
    </xf>
    <xf numFmtId="17" fontId="2" fillId="0" borderId="0" xfId="0" applyNumberFormat="1" applyFont="1" applyFill="1" applyBorder="1" applyAlignment="1">
      <alignment horizontal="center" vertical="top" wrapText="1"/>
    </xf>
    <xf numFmtId="17" fontId="2" fillId="0" borderId="0" xfId="0" applyNumberFormat="1" applyFont="1" applyBorder="1" applyAlignment="1">
      <alignment horizontal="center" vertical="top" wrapText="1"/>
    </xf>
    <xf numFmtId="9" fontId="3" fillId="2" borderId="0" xfId="0" applyNumberFormat="1" applyFont="1" applyFill="1" applyBorder="1" applyAlignment="1">
      <alignment horizontal="center" vertical="top" wrapText="1"/>
    </xf>
    <xf numFmtId="17" fontId="2" fillId="2" borderId="0" xfId="0" applyNumberFormat="1" applyFont="1" applyFill="1" applyBorder="1" applyAlignment="1">
      <alignment horizontal="center" vertical="top" wrapText="1"/>
    </xf>
    <xf numFmtId="0" fontId="3" fillId="2" borderId="0" xfId="0" applyFont="1" applyFill="1" applyBorder="1" applyAlignment="1">
      <alignment horizontal="center" vertical="top"/>
    </xf>
    <xf numFmtId="0" fontId="4" fillId="2" borderId="0" xfId="0" applyFont="1" applyFill="1" applyBorder="1" applyAlignment="1">
      <alignment horizontal="center" vertical="top"/>
    </xf>
    <xf numFmtId="0" fontId="2" fillId="5" borderId="0" xfId="0" applyFont="1" applyFill="1" applyBorder="1" applyAlignment="1">
      <alignment vertical="top" wrapText="1"/>
    </xf>
    <xf numFmtId="0" fontId="2" fillId="0" borderId="0" xfId="0" applyFont="1" applyBorder="1" applyAlignment="1">
      <alignment horizontal="center" vertical="top" wrapText="1"/>
    </xf>
    <xf numFmtId="0" fontId="1" fillId="0" borderId="0" xfId="0" applyFont="1" applyBorder="1" applyAlignment="1">
      <alignment horizontal="center"/>
    </xf>
    <xf numFmtId="0" fontId="2" fillId="2" borderId="7" xfId="0" applyFont="1" applyFill="1" applyBorder="1" applyAlignment="1">
      <alignment horizontal="left" vertical="top" wrapText="1"/>
    </xf>
    <xf numFmtId="17" fontId="2" fillId="0" borderId="1" xfId="0" applyNumberFormat="1" applyFont="1" applyFill="1" applyBorder="1" applyAlignment="1">
      <alignment horizontal="left" vertical="top" wrapText="1"/>
    </xf>
    <xf numFmtId="15"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top"/>
    </xf>
    <xf numFmtId="0" fontId="2" fillId="0" borderId="0" xfId="0" applyFont="1" applyFill="1" applyBorder="1" applyAlignment="1">
      <alignment vertical="top"/>
    </xf>
    <xf numFmtId="0" fontId="2" fillId="0" borderId="7" xfId="0" applyFont="1" applyFill="1" applyBorder="1" applyAlignment="1">
      <alignment horizontal="left" vertical="top" wrapText="1"/>
    </xf>
    <xf numFmtId="3" fontId="4" fillId="0" borderId="0" xfId="0" applyNumberFormat="1" applyFont="1" applyBorder="1"/>
    <xf numFmtId="0" fontId="5" fillId="3" borderId="1" xfId="0" applyFont="1" applyFill="1" applyBorder="1" applyAlignment="1">
      <alignment horizontal="center" vertical="top"/>
    </xf>
    <xf numFmtId="0" fontId="5" fillId="3" borderId="1" xfId="0" applyFont="1" applyFill="1" applyBorder="1" applyAlignment="1">
      <alignment horizontal="left" vertical="top"/>
    </xf>
    <xf numFmtId="0" fontId="5" fillId="3" borderId="1" xfId="0" applyFont="1" applyFill="1" applyBorder="1" applyAlignment="1">
      <alignment vertical="top"/>
    </xf>
    <xf numFmtId="4" fontId="5" fillId="3" borderId="1" xfId="0" applyNumberFormat="1" applyFont="1" applyFill="1" applyBorder="1" applyAlignment="1">
      <alignment horizontal="center" vertical="top"/>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2" fillId="3" borderId="0" xfId="0" applyFont="1" applyFill="1" applyAlignment="1">
      <alignment vertical="top"/>
    </xf>
    <xf numFmtId="3" fontId="5" fillId="0" borderId="0" xfId="0" applyNumberFormat="1" applyFont="1" applyAlignment="1">
      <alignment horizontal="center" vertical="top"/>
    </xf>
    <xf numFmtId="3" fontId="5" fillId="3" borderId="1" xfId="0" applyNumberFormat="1" applyFont="1" applyFill="1" applyBorder="1" applyAlignment="1">
      <alignment horizontal="center" vertical="top"/>
    </xf>
    <xf numFmtId="3" fontId="5" fillId="3" borderId="1" xfId="0" applyNumberFormat="1" applyFont="1" applyFill="1" applyBorder="1" applyAlignment="1">
      <alignment vertical="top" wrapText="1"/>
    </xf>
    <xf numFmtId="3" fontId="3" fillId="0" borderId="1" xfId="0" applyNumberFormat="1" applyFont="1" applyBorder="1" applyAlignment="1">
      <alignment vertical="top" wrapText="1"/>
    </xf>
    <xf numFmtId="3" fontId="6" fillId="3" borderId="1" xfId="0" applyNumberFormat="1" applyFont="1" applyFill="1" applyBorder="1" applyAlignment="1">
      <alignment vertical="top" wrapText="1"/>
    </xf>
    <xf numFmtId="3" fontId="2" fillId="0" borderId="1" xfId="0" applyNumberFormat="1" applyFont="1" applyFill="1" applyBorder="1" applyAlignment="1">
      <alignment vertical="top" wrapText="1"/>
    </xf>
    <xf numFmtId="3" fontId="2" fillId="0" borderId="0" xfId="0" applyNumberFormat="1" applyFont="1" applyFill="1" applyBorder="1" applyAlignment="1">
      <alignment vertical="top" wrapText="1"/>
    </xf>
    <xf numFmtId="3" fontId="2" fillId="2" borderId="1" xfId="0" applyNumberFormat="1" applyFont="1" applyFill="1" applyBorder="1" applyAlignment="1">
      <alignment vertical="top" wrapText="1"/>
    </xf>
    <xf numFmtId="3" fontId="5" fillId="0" borderId="1" xfId="0" applyNumberFormat="1" applyFont="1" applyFill="1" applyBorder="1" applyAlignment="1">
      <alignment vertical="top" wrapText="1"/>
    </xf>
    <xf numFmtId="3" fontId="2" fillId="0" borderId="0" xfId="0" applyNumberFormat="1" applyFont="1" applyAlignment="1">
      <alignment vertical="top"/>
    </xf>
    <xf numFmtId="3" fontId="5" fillId="3" borderId="0" xfId="0" applyNumberFormat="1" applyFont="1" applyFill="1" applyBorder="1" applyAlignment="1">
      <alignment vertical="top" wrapText="1"/>
    </xf>
    <xf numFmtId="3" fontId="5" fillId="0" borderId="0" xfId="0" applyNumberFormat="1" applyFont="1" applyFill="1" applyBorder="1" applyAlignment="1">
      <alignment vertical="top" wrapText="1"/>
    </xf>
    <xf numFmtId="3" fontId="5" fillId="0" borderId="0" xfId="0" applyNumberFormat="1" applyFont="1" applyBorder="1" applyAlignment="1">
      <alignment vertical="top" wrapText="1"/>
    </xf>
    <xf numFmtId="3" fontId="2" fillId="0" borderId="0" xfId="0" applyNumberFormat="1" applyFont="1" applyBorder="1" applyAlignment="1">
      <alignment vertical="top" wrapText="1"/>
    </xf>
    <xf numFmtId="3" fontId="2" fillId="2" borderId="0" xfId="0" applyNumberFormat="1" applyFont="1" applyFill="1" applyBorder="1" applyAlignment="1">
      <alignment vertical="top" wrapText="1"/>
    </xf>
    <xf numFmtId="3" fontId="5" fillId="4" borderId="0" xfId="0" applyNumberFormat="1" applyFont="1" applyFill="1" applyBorder="1" applyAlignment="1">
      <alignment vertical="top" wrapText="1"/>
    </xf>
    <xf numFmtId="3" fontId="2" fillId="0" borderId="0" xfId="0" applyNumberFormat="1" applyFont="1" applyBorder="1" applyAlignment="1">
      <alignment vertical="top"/>
    </xf>
    <xf numFmtId="3" fontId="2" fillId="0" borderId="1" xfId="0" applyNumberFormat="1" applyFont="1" applyFill="1" applyBorder="1" applyAlignment="1">
      <alignment horizontal="right" vertical="top" wrapText="1"/>
    </xf>
    <xf numFmtId="3" fontId="3" fillId="0" borderId="1" xfId="0" applyNumberFormat="1" applyFont="1" applyFill="1" applyBorder="1" applyAlignment="1">
      <alignment vertical="top" wrapText="1"/>
    </xf>
    <xf numFmtId="3" fontId="3" fillId="0" borderId="0" xfId="0" applyNumberFormat="1" applyFont="1" applyFill="1" applyBorder="1" applyAlignment="1">
      <alignment vertical="top" wrapText="1"/>
    </xf>
    <xf numFmtId="3" fontId="3" fillId="2" borderId="0" xfId="0" applyNumberFormat="1" applyFont="1" applyFill="1" applyBorder="1" applyAlignment="1">
      <alignment vertical="top" wrapText="1"/>
    </xf>
    <xf numFmtId="3" fontId="6" fillId="0" borderId="0" xfId="0" applyNumberFormat="1" applyFont="1" applyFill="1" applyBorder="1" applyAlignment="1">
      <alignment vertical="top" wrapText="1"/>
    </xf>
    <xf numFmtId="3" fontId="2" fillId="2" borderId="0" xfId="0" applyNumberFormat="1" applyFont="1" applyFill="1" applyBorder="1" applyAlignment="1">
      <alignment vertical="top"/>
    </xf>
    <xf numFmtId="3" fontId="2" fillId="0" borderId="0" xfId="0" applyNumberFormat="1" applyFont="1" applyFill="1" applyBorder="1" applyAlignment="1">
      <alignment vertical="top"/>
    </xf>
    <xf numFmtId="3" fontId="2" fillId="0" borderId="0" xfId="0" applyNumberFormat="1" applyFont="1" applyFill="1" applyAlignment="1">
      <alignment vertical="top"/>
    </xf>
    <xf numFmtId="0" fontId="8" fillId="0" borderId="0" xfId="0" applyFont="1" applyAlignment="1">
      <alignment horizontal="center"/>
    </xf>
    <xf numFmtId="10" fontId="2" fillId="0" borderId="1" xfId="0" applyNumberFormat="1" applyFont="1" applyBorder="1" applyAlignment="1">
      <alignment horizontal="center" vertical="top"/>
    </xf>
    <xf numFmtId="9" fontId="2" fillId="0" borderId="1" xfId="0" applyNumberFormat="1" applyFont="1" applyBorder="1" applyAlignment="1">
      <alignment horizontal="center" vertical="top"/>
    </xf>
    <xf numFmtId="9" fontId="2" fillId="2" borderId="1" xfId="0" applyNumberFormat="1" applyFont="1" applyFill="1" applyBorder="1" applyAlignment="1">
      <alignment horizontal="right" vertical="top" wrapText="1"/>
    </xf>
    <xf numFmtId="9" fontId="5" fillId="0" borderId="1" xfId="0" applyNumberFormat="1" applyFont="1" applyFill="1" applyBorder="1" applyAlignment="1">
      <alignment horizontal="center" vertical="top" wrapText="1"/>
    </xf>
    <xf numFmtId="9" fontId="2" fillId="0" borderId="1" xfId="0" applyNumberFormat="1" applyFont="1" applyFill="1" applyBorder="1" applyAlignment="1">
      <alignment horizontal="center" vertical="top"/>
    </xf>
    <xf numFmtId="0" fontId="8" fillId="0" borderId="0" xfId="0" applyFont="1" applyAlignment="1">
      <alignment horizontal="center"/>
    </xf>
    <xf numFmtId="0" fontId="5" fillId="0" borderId="0" xfId="0" applyFont="1" applyBorder="1" applyAlignment="1">
      <alignment horizontal="center" vertical="top" wrapText="1"/>
    </xf>
    <xf numFmtId="0" fontId="5" fillId="0" borderId="0" xfId="0" applyFont="1" applyAlignment="1">
      <alignment horizontal="center" vertical="top"/>
    </xf>
    <xf numFmtId="0" fontId="2" fillId="0" borderId="0" xfId="0" applyFont="1" applyBorder="1" applyAlignment="1">
      <alignment horizontal="center" vertical="top" wrapText="1"/>
    </xf>
    <xf numFmtId="0" fontId="9"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7" xfId="0" applyFont="1" applyFill="1" applyBorder="1" applyAlignment="1">
      <alignment horizontal="left" vertical="top" wrapText="1"/>
    </xf>
    <xf numFmtId="17" fontId="3" fillId="0" borderId="1" xfId="0" applyNumberFormat="1" applyFont="1" applyFill="1" applyBorder="1" applyAlignment="1">
      <alignment horizontal="center" vertical="top" wrapText="1"/>
    </xf>
    <xf numFmtId="3" fontId="9" fillId="5" borderId="1" xfId="0" applyNumberFormat="1" applyFont="1" applyFill="1" applyBorder="1" applyAlignment="1">
      <alignment vertical="top" wrapText="1"/>
    </xf>
    <xf numFmtId="4" fontId="5" fillId="0" borderId="0" xfId="0" applyNumberFormat="1" applyFont="1" applyFill="1" applyBorder="1" applyAlignment="1">
      <alignment vertical="top" wrapText="1"/>
    </xf>
    <xf numFmtId="0" fontId="9"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0" xfId="0" applyFont="1" applyAlignment="1">
      <alignment vertical="top"/>
    </xf>
    <xf numFmtId="4" fontId="2" fillId="2" borderId="0" xfId="0" applyNumberFormat="1" applyFont="1" applyFill="1" applyBorder="1" applyAlignment="1">
      <alignment vertical="top" wrapText="1"/>
    </xf>
    <xf numFmtId="4" fontId="7" fillId="5" borderId="1" xfId="0" applyNumberFormat="1" applyFont="1" applyFill="1" applyBorder="1" applyAlignment="1">
      <alignment vertical="top" wrapText="1"/>
    </xf>
    <xf numFmtId="165" fontId="7" fillId="5" borderId="1" xfId="0" applyNumberFormat="1" applyFont="1" applyFill="1" applyBorder="1" applyAlignment="1">
      <alignment vertical="top" wrapText="1"/>
    </xf>
    <xf numFmtId="4" fontId="3" fillId="0" borderId="1" xfId="0" applyNumberFormat="1" applyFont="1" applyFill="1" applyBorder="1" applyAlignment="1">
      <alignment horizontal="right" vertical="top" wrapText="1"/>
    </xf>
    <xf numFmtId="10" fontId="2" fillId="0" borderId="1" xfId="0" applyNumberFormat="1" applyFont="1" applyFill="1" applyBorder="1" applyAlignment="1">
      <alignment horizontal="center" vertical="top" wrapText="1"/>
    </xf>
    <xf numFmtId="0" fontId="4" fillId="0" borderId="0" xfId="0" applyFont="1" applyBorder="1"/>
    <xf numFmtId="0" fontId="1" fillId="0" borderId="0" xfId="0" applyFont="1" applyAlignment="1">
      <alignment vertical="top" wrapText="1"/>
    </xf>
    <xf numFmtId="0" fontId="8" fillId="0" borderId="0" xfId="0" applyFont="1" applyAlignment="1">
      <alignment horizontal="center"/>
    </xf>
    <xf numFmtId="0" fontId="11" fillId="4" borderId="4" xfId="0" applyFont="1" applyFill="1" applyBorder="1" applyAlignment="1">
      <alignment horizontal="center" vertical="top" wrapText="1"/>
    </xf>
    <xf numFmtId="0" fontId="12" fillId="0" borderId="4" xfId="0" applyFont="1" applyFill="1" applyBorder="1"/>
    <xf numFmtId="3" fontId="12" fillId="0" borderId="0" xfId="0" applyNumberFormat="1" applyFont="1" applyFill="1" applyBorder="1"/>
    <xf numFmtId="3" fontId="11" fillId="0" borderId="0" xfId="0" applyNumberFormat="1" applyFont="1" applyFill="1" applyBorder="1"/>
    <xf numFmtId="3" fontId="11" fillId="0" borderId="0" xfId="0" applyNumberFormat="1" applyFont="1" applyBorder="1"/>
    <xf numFmtId="9" fontId="4" fillId="0" borderId="0" xfId="0" applyNumberFormat="1" applyFont="1"/>
    <xf numFmtId="0" fontId="8" fillId="0" borderId="3" xfId="0" applyFont="1" applyBorder="1" applyAlignment="1">
      <alignment horizontal="center" vertical="top"/>
    </xf>
    <xf numFmtId="0" fontId="11" fillId="0" borderId="0" xfId="0" applyFont="1" applyFill="1" applyBorder="1"/>
    <xf numFmtId="3" fontId="12" fillId="0" borderId="13" xfId="0" applyNumberFormat="1" applyFont="1" applyFill="1" applyBorder="1"/>
    <xf numFmtId="0" fontId="1" fillId="0" borderId="0" xfId="0" applyFont="1" applyAlignment="1">
      <alignment horizontal="center" vertical="top" wrapText="1"/>
    </xf>
    <xf numFmtId="0" fontId="1" fillId="0" borderId="0" xfId="0" applyFont="1" applyBorder="1" applyAlignment="1">
      <alignment horizontal="center"/>
    </xf>
    <xf numFmtId="0" fontId="8" fillId="0" borderId="0" xfId="0" applyFont="1" applyAlignment="1">
      <alignment horizontal="center"/>
    </xf>
    <xf numFmtId="164" fontId="2" fillId="2" borderId="1" xfId="1" applyFont="1" applyFill="1" applyBorder="1" applyAlignment="1">
      <alignment horizontal="right" vertical="top" wrapText="1"/>
    </xf>
    <xf numFmtId="164" fontId="5" fillId="0" borderId="0" xfId="1" applyFont="1" applyAlignment="1">
      <alignment horizontal="center" vertical="top"/>
    </xf>
    <xf numFmtId="164" fontId="5" fillId="3" borderId="1" xfId="1" applyFont="1" applyFill="1" applyBorder="1" applyAlignment="1">
      <alignment horizontal="center" vertical="top"/>
    </xf>
    <xf numFmtId="164" fontId="5" fillId="0" borderId="1" xfId="1" applyFont="1" applyBorder="1" applyAlignment="1">
      <alignment vertical="top"/>
    </xf>
    <xf numFmtId="164" fontId="5" fillId="3" borderId="1" xfId="1" applyFont="1" applyFill="1" applyBorder="1" applyAlignment="1">
      <alignment vertical="top" wrapText="1"/>
    </xf>
    <xf numFmtId="164" fontId="5" fillId="0" borderId="1" xfId="1" applyFont="1" applyFill="1" applyBorder="1" applyAlignment="1">
      <alignment vertical="top" wrapText="1"/>
    </xf>
    <xf numFmtId="164" fontId="2" fillId="0" borderId="1" xfId="1" applyFont="1" applyFill="1" applyBorder="1" applyAlignment="1">
      <alignment horizontal="right" vertical="top" wrapText="1"/>
    </xf>
    <xf numFmtId="164" fontId="6" fillId="3" borderId="1" xfId="1" applyFont="1" applyFill="1" applyBorder="1" applyAlignment="1">
      <alignment vertical="top" wrapText="1"/>
    </xf>
    <xf numFmtId="164" fontId="2" fillId="0" borderId="1" xfId="1" applyFont="1" applyFill="1" applyBorder="1" applyAlignment="1">
      <alignment vertical="top" wrapText="1"/>
    </xf>
    <xf numFmtId="164" fontId="2" fillId="2" borderId="0" xfId="1" applyFont="1" applyFill="1" applyBorder="1" applyAlignment="1">
      <alignment vertical="top" wrapText="1"/>
    </xf>
    <xf numFmtId="164" fontId="7" fillId="5" borderId="1" xfId="1" applyFont="1" applyFill="1" applyBorder="1" applyAlignment="1">
      <alignment vertical="top" wrapText="1"/>
    </xf>
    <xf numFmtId="164" fontId="2" fillId="0" borderId="0" xfId="1" applyFont="1" applyAlignment="1">
      <alignment vertical="top"/>
    </xf>
    <xf numFmtId="4" fontId="3" fillId="0" borderId="1" xfId="0" applyNumberFormat="1" applyFont="1" applyFill="1" applyBorder="1" applyAlignment="1">
      <alignment vertical="top" wrapText="1"/>
    </xf>
    <xf numFmtId="164" fontId="2" fillId="2" borderId="7" xfId="1" applyFont="1" applyFill="1" applyBorder="1" applyAlignment="1">
      <alignment horizontal="left" vertical="top" wrapText="1"/>
    </xf>
    <xf numFmtId="164" fontId="2" fillId="2" borderId="1" xfId="1" applyFont="1" applyFill="1" applyBorder="1" applyAlignment="1">
      <alignment horizontal="left" vertical="top" wrapText="1"/>
    </xf>
    <xf numFmtId="164" fontId="2" fillId="0" borderId="1" xfId="1" applyFont="1" applyFill="1" applyBorder="1" applyAlignment="1">
      <alignment horizontal="left" vertical="top" wrapText="1"/>
    </xf>
    <xf numFmtId="0" fontId="2" fillId="0" borderId="5" xfId="0" applyFont="1" applyFill="1" applyBorder="1" applyAlignment="1">
      <alignment horizontal="left" vertical="top" wrapText="1"/>
    </xf>
    <xf numFmtId="0" fontId="12" fillId="0" borderId="2" xfId="0" applyFont="1" applyFill="1" applyBorder="1"/>
    <xf numFmtId="3" fontId="12" fillId="0" borderId="3" xfId="0" applyNumberFormat="1" applyFont="1" applyFill="1" applyBorder="1"/>
    <xf numFmtId="3" fontId="12" fillId="0" borderId="14" xfId="0" applyNumberFormat="1" applyFont="1" applyFill="1" applyBorder="1"/>
    <xf numFmtId="3" fontId="12" fillId="0" borderId="14" xfId="0" applyNumberFormat="1" applyFont="1" applyBorder="1"/>
    <xf numFmtId="3" fontId="12" fillId="0" borderId="15" xfId="0" applyNumberFormat="1" applyFont="1" applyFill="1" applyBorder="1"/>
    <xf numFmtId="3" fontId="12" fillId="0" borderId="15" xfId="0" applyNumberFormat="1" applyFont="1" applyBorder="1"/>
    <xf numFmtId="0" fontId="11" fillId="4" borderId="17" xfId="0" applyFont="1" applyFill="1" applyBorder="1" applyAlignment="1">
      <alignment horizontal="center" vertical="top" wrapText="1"/>
    </xf>
    <xf numFmtId="0" fontId="11" fillId="4" borderId="16" xfId="0" applyFont="1" applyFill="1" applyBorder="1" applyAlignment="1">
      <alignment horizontal="center" vertical="top" wrapText="1"/>
    </xf>
    <xf numFmtId="0" fontId="11" fillId="4" borderId="2" xfId="0" applyFont="1" applyFill="1" applyBorder="1" applyAlignment="1">
      <alignment horizontal="center" vertical="top" wrapText="1"/>
    </xf>
    <xf numFmtId="0" fontId="11" fillId="4" borderId="14" xfId="0" applyFont="1" applyFill="1" applyBorder="1" applyAlignment="1">
      <alignment horizontal="center" vertical="top" wrapText="1"/>
    </xf>
    <xf numFmtId="0" fontId="11" fillId="4" borderId="3" xfId="0" applyFont="1" applyFill="1" applyBorder="1" applyAlignment="1">
      <alignment horizontal="center" vertical="top" wrapText="1"/>
    </xf>
    <xf numFmtId="0" fontId="11" fillId="0" borderId="18" xfId="0" applyFont="1" applyFill="1" applyBorder="1"/>
    <xf numFmtId="3" fontId="11" fillId="0" borderId="20" xfId="0" applyNumberFormat="1" applyFont="1" applyFill="1" applyBorder="1"/>
    <xf numFmtId="3" fontId="11" fillId="0" borderId="20" xfId="0" applyNumberFormat="1" applyFont="1" applyBorder="1"/>
    <xf numFmtId="3" fontId="12" fillId="0" borderId="19" xfId="0" applyNumberFormat="1" applyFont="1" applyFill="1" applyBorder="1"/>
    <xf numFmtId="9" fontId="2" fillId="0" borderId="1" xfId="0" applyNumberFormat="1" applyFont="1" applyFill="1" applyBorder="1" applyAlignment="1">
      <alignment horizontal="center" vertical="top" wrapText="1"/>
    </xf>
    <xf numFmtId="164" fontId="2" fillId="0" borderId="7" xfId="1" applyFont="1" applyFill="1" applyBorder="1" applyAlignment="1">
      <alignment horizontal="left" vertical="top" wrapText="1"/>
    </xf>
    <xf numFmtId="4" fontId="2" fillId="0" borderId="1" xfId="0" applyNumberFormat="1" applyFont="1" applyBorder="1" applyAlignment="1">
      <alignment vertical="top"/>
    </xf>
    <xf numFmtId="4" fontId="5" fillId="8" borderId="1" xfId="0" applyNumberFormat="1" applyFont="1" applyFill="1" applyBorder="1" applyAlignment="1">
      <alignment horizontal="right" vertical="top" wrapText="1"/>
    </xf>
    <xf numFmtId="0" fontId="14" fillId="0" borderId="0" xfId="0" applyFont="1" applyAlignment="1">
      <alignment horizontal="right"/>
    </xf>
    <xf numFmtId="0" fontId="1" fillId="0" borderId="0"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vertical="top"/>
    </xf>
    <xf numFmtId="0" fontId="8" fillId="0" borderId="9" xfId="0" applyFont="1" applyBorder="1" applyAlignment="1">
      <alignment horizontal="center" vertical="top"/>
    </xf>
    <xf numFmtId="0" fontId="5" fillId="0" borderId="0" xfId="0" applyFont="1" applyAlignment="1">
      <alignment horizontal="center" vertical="top"/>
    </xf>
    <xf numFmtId="0" fontId="7" fillId="0" borderId="0" xfId="0" applyFont="1" applyBorder="1" applyAlignment="1">
      <alignment horizontal="center" vertical="top"/>
    </xf>
    <xf numFmtId="0" fontId="5" fillId="0" borderId="0" xfId="0" applyFont="1" applyBorder="1" applyAlignment="1">
      <alignment horizontal="center" vertical="top"/>
    </xf>
    <xf numFmtId="0" fontId="2" fillId="0" borderId="10" xfId="0" applyFont="1" applyBorder="1" applyAlignment="1">
      <alignment horizontal="center" vertical="top"/>
    </xf>
    <xf numFmtId="4" fontId="5" fillId="0" borderId="0" xfId="0" applyNumberFormat="1" applyFont="1" applyAlignment="1">
      <alignment horizontal="right" vertical="top"/>
    </xf>
    <xf numFmtId="0" fontId="5" fillId="0" borderId="0" xfId="0" applyFont="1" applyAlignment="1">
      <alignment horizontal="right" vertical="top"/>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10" xfId="0" applyFont="1" applyBorder="1" applyAlignment="1">
      <alignment horizontal="center" vertical="top" wrapText="1"/>
    </xf>
    <xf numFmtId="0" fontId="5" fillId="0" borderId="8" xfId="0" applyFont="1" applyBorder="1" applyAlignment="1">
      <alignment horizontal="center" vertical="top" wrapText="1"/>
    </xf>
    <xf numFmtId="4" fontId="6" fillId="0" borderId="8" xfId="0" applyNumberFormat="1" applyFont="1" applyBorder="1" applyAlignment="1">
      <alignment horizontal="center" vertical="top" wrapText="1"/>
    </xf>
    <xf numFmtId="0" fontId="2" fillId="0" borderId="8" xfId="0" applyFont="1" applyBorder="1" applyAlignment="1">
      <alignment horizontal="center" vertical="top"/>
    </xf>
    <xf numFmtId="0" fontId="2" fillId="0" borderId="0" xfId="0" applyFont="1" applyFill="1" applyBorder="1" applyAlignment="1">
      <alignment horizontal="center" vertical="top" wrapText="1"/>
    </xf>
    <xf numFmtId="0" fontId="2" fillId="2" borderId="0" xfId="0" applyFont="1" applyFill="1" applyBorder="1" applyAlignment="1">
      <alignment horizontal="center" vertical="top" wrapText="1"/>
    </xf>
    <xf numFmtId="14" fontId="2"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0" fillId="0" borderId="0" xfId="0" applyFill="1" applyBorder="1" applyAlignment="1">
      <alignment horizontal="center" vertical="top" wrapText="1"/>
    </xf>
    <xf numFmtId="14" fontId="2" fillId="0" borderId="0" xfId="0" applyNumberFormat="1" applyFont="1" applyBorder="1" applyAlignment="1">
      <alignment horizontal="center" vertical="top" wrapText="1"/>
    </xf>
    <xf numFmtId="0" fontId="3" fillId="2" borderId="0" xfId="0" applyFont="1" applyFill="1" applyBorder="1" applyAlignment="1">
      <alignment horizontal="center" vertical="top"/>
    </xf>
    <xf numFmtId="14" fontId="2" fillId="2" borderId="0" xfId="0" applyNumberFormat="1" applyFont="1" applyFill="1" applyBorder="1" applyAlignment="1">
      <alignment horizontal="center" vertical="top" wrapText="1"/>
    </xf>
    <xf numFmtId="0" fontId="4" fillId="2" borderId="0" xfId="0" applyFont="1" applyFill="1" applyBorder="1" applyAlignment="1">
      <alignment horizontal="center" vertical="top" wrapText="1"/>
    </xf>
    <xf numFmtId="0" fontId="4" fillId="0" borderId="0" xfId="0" applyFont="1" applyBorder="1" applyAlignment="1">
      <alignment horizontal="center" vertical="top" wrapText="1"/>
    </xf>
    <xf numFmtId="0" fontId="5" fillId="0" borderId="0" xfId="0" applyFont="1" applyBorder="1" applyAlignment="1">
      <alignment horizontal="left" vertical="top"/>
    </xf>
    <xf numFmtId="0" fontId="4" fillId="2" borderId="0" xfId="0" applyFont="1" applyFill="1" applyBorder="1" applyAlignment="1">
      <alignment horizontal="center" vertical="top"/>
    </xf>
    <xf numFmtId="0" fontId="3" fillId="0" borderId="0" xfId="0" applyFont="1" applyFill="1" applyBorder="1" applyAlignment="1">
      <alignment horizontal="center" vertical="top"/>
    </xf>
    <xf numFmtId="0" fontId="4" fillId="0" borderId="0" xfId="0" applyFont="1" applyFill="1" applyBorder="1" applyAlignment="1">
      <alignment horizontal="center" vertical="top"/>
    </xf>
    <xf numFmtId="0" fontId="6" fillId="0" borderId="8" xfId="0" applyFont="1" applyBorder="1" applyAlignment="1">
      <alignment horizontal="center" vertical="top" wrapText="1"/>
    </xf>
    <xf numFmtId="0" fontId="6" fillId="0" borderId="12" xfId="0" applyFont="1" applyFill="1" applyBorder="1" applyAlignment="1">
      <alignment horizontal="center" vertical="top" wrapText="1"/>
    </xf>
    <xf numFmtId="9" fontId="2" fillId="0" borderId="11" xfId="0" applyNumberFormat="1" applyFont="1" applyFill="1" applyBorder="1" applyAlignment="1">
      <alignment horizontal="center" vertical="top" wrapText="1"/>
    </xf>
    <xf numFmtId="9" fontId="2" fillId="0" borderId="6" xfId="0" applyNumberFormat="1"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29906965804335E-2"/>
          <c:y val="7.1235045119701509E-2"/>
          <c:w val="0.88498902604560747"/>
          <c:h val="0.87722293130228746"/>
        </c:manualLayout>
      </c:layout>
      <c:barChart>
        <c:barDir val="col"/>
        <c:grouping val="clustered"/>
        <c:varyColors val="0"/>
        <c:ser>
          <c:idx val="0"/>
          <c:order val="0"/>
          <c:invertIfNegative val="0"/>
          <c:cat>
            <c:strRef>
              <c:f>Summary!$A$9:$A$17</c:f>
              <c:strCache>
                <c:ptCount val="9"/>
                <c:pt idx="0">
                  <c:v>Prog1:Admin</c:v>
                </c:pt>
                <c:pt idx="1">
                  <c:v>Prog2:LACE</c:v>
                </c:pt>
                <c:pt idx="2">
                  <c:v>Prog3:OC</c:v>
                </c:pt>
                <c:pt idx="3">
                  <c:v>Prog4:CC</c:v>
                </c:pt>
                <c:pt idx="4">
                  <c:v>Prog5:B &amp; C</c:v>
                </c:pt>
                <c:pt idx="5">
                  <c:v>Prog6:EP</c:v>
                </c:pt>
                <c:pt idx="6">
                  <c:v>Prog7:CWM</c:v>
                </c:pt>
                <c:pt idx="8">
                  <c:v>Grand Total</c:v>
                </c:pt>
              </c:strCache>
            </c:strRef>
          </c:cat>
          <c:val>
            <c:numRef>
              <c:f>Summary!$B$9:$B$17</c:f>
              <c:numCache>
                <c:formatCode>#,##0</c:formatCode>
                <c:ptCount val="9"/>
                <c:pt idx="0">
                  <c:v>38000000</c:v>
                </c:pt>
                <c:pt idx="1">
                  <c:v>12700000</c:v>
                </c:pt>
                <c:pt idx="2">
                  <c:v>200400000</c:v>
                </c:pt>
                <c:pt idx="3">
                  <c:v>16200000</c:v>
                </c:pt>
                <c:pt idx="4">
                  <c:v>13900000</c:v>
                </c:pt>
                <c:pt idx="5">
                  <c:v>27200000</c:v>
                </c:pt>
                <c:pt idx="6">
                  <c:v>156700000</c:v>
                </c:pt>
                <c:pt idx="8">
                  <c:v>465100000</c:v>
                </c:pt>
              </c:numCache>
            </c:numRef>
          </c:val>
        </c:ser>
        <c:ser>
          <c:idx val="1"/>
          <c:order val="1"/>
          <c:invertIfNegative val="0"/>
          <c:cat>
            <c:strRef>
              <c:f>Summary!$A$9:$A$17</c:f>
              <c:strCache>
                <c:ptCount val="9"/>
                <c:pt idx="0">
                  <c:v>Prog1:Admin</c:v>
                </c:pt>
                <c:pt idx="1">
                  <c:v>Prog2:LACE</c:v>
                </c:pt>
                <c:pt idx="2">
                  <c:v>Prog3:OC</c:v>
                </c:pt>
                <c:pt idx="3">
                  <c:v>Prog4:CC</c:v>
                </c:pt>
                <c:pt idx="4">
                  <c:v>Prog5:B &amp; C</c:v>
                </c:pt>
                <c:pt idx="5">
                  <c:v>Prog6:EP</c:v>
                </c:pt>
                <c:pt idx="6">
                  <c:v>Prog7:CWM</c:v>
                </c:pt>
                <c:pt idx="8">
                  <c:v>Grand Total</c:v>
                </c:pt>
              </c:strCache>
            </c:strRef>
          </c:cat>
          <c:val>
            <c:numRef>
              <c:f>Summary!$C$9:$C$17</c:f>
              <c:numCache>
                <c:formatCode>#,##0</c:formatCode>
                <c:ptCount val="9"/>
                <c:pt idx="0">
                  <c:v>34362368.710000001</c:v>
                </c:pt>
                <c:pt idx="1">
                  <c:v>2456402.7799999998</c:v>
                </c:pt>
                <c:pt idx="2">
                  <c:v>25686009.079999998</c:v>
                </c:pt>
                <c:pt idx="3">
                  <c:v>15703641.090000002</c:v>
                </c:pt>
                <c:pt idx="4">
                  <c:v>8579809.5500000007</c:v>
                </c:pt>
                <c:pt idx="5">
                  <c:v>25939799.789999999</c:v>
                </c:pt>
                <c:pt idx="6">
                  <c:v>55224572.099999994</c:v>
                </c:pt>
                <c:pt idx="8">
                  <c:v>167952603.09999999</c:v>
                </c:pt>
              </c:numCache>
            </c:numRef>
          </c:val>
        </c:ser>
        <c:ser>
          <c:idx val="2"/>
          <c:order val="2"/>
          <c:invertIfNegative val="0"/>
          <c:cat>
            <c:strRef>
              <c:f>Summary!$A$9:$A$17</c:f>
              <c:strCache>
                <c:ptCount val="9"/>
                <c:pt idx="0">
                  <c:v>Prog1:Admin</c:v>
                </c:pt>
                <c:pt idx="1">
                  <c:v>Prog2:LACE</c:v>
                </c:pt>
                <c:pt idx="2">
                  <c:v>Prog3:OC</c:v>
                </c:pt>
                <c:pt idx="3">
                  <c:v>Prog4:CC</c:v>
                </c:pt>
                <c:pt idx="4">
                  <c:v>Prog5:B &amp; C</c:v>
                </c:pt>
                <c:pt idx="5">
                  <c:v>Prog6:EP</c:v>
                </c:pt>
                <c:pt idx="6">
                  <c:v>Prog7:CWM</c:v>
                </c:pt>
                <c:pt idx="8">
                  <c:v>Grand Total</c:v>
                </c:pt>
              </c:strCache>
            </c:strRef>
          </c:cat>
          <c:val>
            <c:numRef>
              <c:f>Summary!$D$9:$D$17</c:f>
              <c:numCache>
                <c:formatCode>#,##0</c:formatCode>
                <c:ptCount val="9"/>
                <c:pt idx="0">
                  <c:v>0</c:v>
                </c:pt>
                <c:pt idx="1">
                  <c:v>0</c:v>
                </c:pt>
                <c:pt idx="2">
                  <c:v>0</c:v>
                </c:pt>
                <c:pt idx="3">
                  <c:v>0</c:v>
                </c:pt>
                <c:pt idx="4">
                  <c:v>0</c:v>
                </c:pt>
                <c:pt idx="5">
                  <c:v>0</c:v>
                </c:pt>
                <c:pt idx="6">
                  <c:v>0</c:v>
                </c:pt>
                <c:pt idx="8">
                  <c:v>0</c:v>
                </c:pt>
              </c:numCache>
            </c:numRef>
          </c:val>
        </c:ser>
        <c:ser>
          <c:idx val="3"/>
          <c:order val="3"/>
          <c:invertIfNegative val="0"/>
          <c:cat>
            <c:strRef>
              <c:f>Summary!$A$9:$A$17</c:f>
              <c:strCache>
                <c:ptCount val="9"/>
                <c:pt idx="0">
                  <c:v>Prog1:Admin</c:v>
                </c:pt>
                <c:pt idx="1">
                  <c:v>Prog2:LACE</c:v>
                </c:pt>
                <c:pt idx="2">
                  <c:v>Prog3:OC</c:v>
                </c:pt>
                <c:pt idx="3">
                  <c:v>Prog4:CC</c:v>
                </c:pt>
                <c:pt idx="4">
                  <c:v>Prog5:B &amp; C</c:v>
                </c:pt>
                <c:pt idx="5">
                  <c:v>Prog6:EP</c:v>
                </c:pt>
                <c:pt idx="6">
                  <c:v>Prog7:CWM</c:v>
                </c:pt>
                <c:pt idx="8">
                  <c:v>Grand Total</c:v>
                </c:pt>
              </c:strCache>
            </c:strRef>
          </c:cat>
          <c:val>
            <c:numRef>
              <c:f>Summary!$E$9:$E$17</c:f>
              <c:numCache>
                <c:formatCode>#,##0</c:formatCode>
                <c:ptCount val="9"/>
                <c:pt idx="0">
                  <c:v>863642.89</c:v>
                </c:pt>
                <c:pt idx="1">
                  <c:v>6371197.0200000005</c:v>
                </c:pt>
                <c:pt idx="2">
                  <c:v>905640.07000000007</c:v>
                </c:pt>
                <c:pt idx="3">
                  <c:v>9160.7000000000007</c:v>
                </c:pt>
                <c:pt idx="4">
                  <c:v>419714.99</c:v>
                </c:pt>
                <c:pt idx="5">
                  <c:v>9547.7999999999993</c:v>
                </c:pt>
                <c:pt idx="6">
                  <c:v>4451827.34</c:v>
                </c:pt>
                <c:pt idx="8">
                  <c:v>13030730.810000001</c:v>
                </c:pt>
              </c:numCache>
            </c:numRef>
          </c:val>
        </c:ser>
        <c:ser>
          <c:idx val="4"/>
          <c:order val="4"/>
          <c:invertIfNegative val="0"/>
          <c:cat>
            <c:strRef>
              <c:f>Summary!$A$9:$A$17</c:f>
              <c:strCache>
                <c:ptCount val="9"/>
                <c:pt idx="0">
                  <c:v>Prog1:Admin</c:v>
                </c:pt>
                <c:pt idx="1">
                  <c:v>Prog2:LACE</c:v>
                </c:pt>
                <c:pt idx="2">
                  <c:v>Prog3:OC</c:v>
                </c:pt>
                <c:pt idx="3">
                  <c:v>Prog4:CC</c:v>
                </c:pt>
                <c:pt idx="4">
                  <c:v>Prog5:B &amp; C</c:v>
                </c:pt>
                <c:pt idx="5">
                  <c:v>Prog6:EP</c:v>
                </c:pt>
                <c:pt idx="6">
                  <c:v>Prog7:CWM</c:v>
                </c:pt>
                <c:pt idx="8">
                  <c:v>Grand Total</c:v>
                </c:pt>
              </c:strCache>
            </c:strRef>
          </c:cat>
          <c:val>
            <c:numRef>
              <c:f>Summary!$F$9:$F$17</c:f>
              <c:numCache>
                <c:formatCode>#,##0</c:formatCode>
                <c:ptCount val="9"/>
                <c:pt idx="0">
                  <c:v>25040.440000000002</c:v>
                </c:pt>
                <c:pt idx="1">
                  <c:v>1765319.44</c:v>
                </c:pt>
                <c:pt idx="2">
                  <c:v>200</c:v>
                </c:pt>
                <c:pt idx="3">
                  <c:v>0</c:v>
                </c:pt>
                <c:pt idx="4">
                  <c:v>0</c:v>
                </c:pt>
                <c:pt idx="5">
                  <c:v>0</c:v>
                </c:pt>
                <c:pt idx="6">
                  <c:v>0</c:v>
                </c:pt>
                <c:pt idx="8">
                  <c:v>1790559.88</c:v>
                </c:pt>
              </c:numCache>
            </c:numRef>
          </c:val>
        </c:ser>
        <c:ser>
          <c:idx val="5"/>
          <c:order val="5"/>
          <c:invertIfNegative val="0"/>
          <c:cat>
            <c:strRef>
              <c:f>Summary!$A$9:$A$17</c:f>
              <c:strCache>
                <c:ptCount val="9"/>
                <c:pt idx="0">
                  <c:v>Prog1:Admin</c:v>
                </c:pt>
                <c:pt idx="1">
                  <c:v>Prog2:LACE</c:v>
                </c:pt>
                <c:pt idx="2">
                  <c:v>Prog3:OC</c:v>
                </c:pt>
                <c:pt idx="3">
                  <c:v>Prog4:CC</c:v>
                </c:pt>
                <c:pt idx="4">
                  <c:v>Prog5:B &amp; C</c:v>
                </c:pt>
                <c:pt idx="5">
                  <c:v>Prog6:EP</c:v>
                </c:pt>
                <c:pt idx="6">
                  <c:v>Prog7:CWM</c:v>
                </c:pt>
                <c:pt idx="8">
                  <c:v>Grand Total</c:v>
                </c:pt>
              </c:strCache>
            </c:strRef>
          </c:cat>
          <c:val>
            <c:numRef>
              <c:f>Summary!$G$9:$G$17</c:f>
              <c:numCache>
                <c:formatCode>#,##0</c:formatCode>
                <c:ptCount val="9"/>
                <c:pt idx="0">
                  <c:v>155588.32</c:v>
                </c:pt>
                <c:pt idx="1">
                  <c:v>2629.5</c:v>
                </c:pt>
                <c:pt idx="2">
                  <c:v>162945534.76999998</c:v>
                </c:pt>
                <c:pt idx="3">
                  <c:v>0</c:v>
                </c:pt>
                <c:pt idx="4">
                  <c:v>0</c:v>
                </c:pt>
                <c:pt idx="5">
                  <c:v>0</c:v>
                </c:pt>
                <c:pt idx="6">
                  <c:v>27422612.809999999</c:v>
                </c:pt>
                <c:pt idx="8">
                  <c:v>190526365.39999998</c:v>
                </c:pt>
              </c:numCache>
            </c:numRef>
          </c:val>
        </c:ser>
        <c:ser>
          <c:idx val="6"/>
          <c:order val="6"/>
          <c:invertIfNegative val="0"/>
          <c:cat>
            <c:strRef>
              <c:f>Summary!$A$9:$A$17</c:f>
              <c:strCache>
                <c:ptCount val="9"/>
                <c:pt idx="0">
                  <c:v>Prog1:Admin</c:v>
                </c:pt>
                <c:pt idx="1">
                  <c:v>Prog2:LACE</c:v>
                </c:pt>
                <c:pt idx="2">
                  <c:v>Prog3:OC</c:v>
                </c:pt>
                <c:pt idx="3">
                  <c:v>Prog4:CC</c:v>
                </c:pt>
                <c:pt idx="4">
                  <c:v>Prog5:B &amp; C</c:v>
                </c:pt>
                <c:pt idx="5">
                  <c:v>Prog6:EP</c:v>
                </c:pt>
                <c:pt idx="6">
                  <c:v>Prog7:CWM</c:v>
                </c:pt>
                <c:pt idx="8">
                  <c:v>Grand Total</c:v>
                </c:pt>
              </c:strCache>
            </c:strRef>
          </c:cat>
          <c:val>
            <c:numRef>
              <c:f>Summary!$H$9:$H$17</c:f>
              <c:numCache>
                <c:formatCode>#,##0</c:formatCode>
                <c:ptCount val="9"/>
                <c:pt idx="0">
                  <c:v>1099399.7199999997</c:v>
                </c:pt>
                <c:pt idx="1">
                  <c:v>157051.22999999998</c:v>
                </c:pt>
                <c:pt idx="2">
                  <c:v>4643616.4900000012</c:v>
                </c:pt>
                <c:pt idx="3">
                  <c:v>4398.8500000000004</c:v>
                </c:pt>
                <c:pt idx="4">
                  <c:v>4882641.82</c:v>
                </c:pt>
                <c:pt idx="5">
                  <c:v>678338.87</c:v>
                </c:pt>
                <c:pt idx="6">
                  <c:v>68032602.49000001</c:v>
                </c:pt>
                <c:pt idx="8">
                  <c:v>79498049.470000014</c:v>
                </c:pt>
              </c:numCache>
            </c:numRef>
          </c:val>
        </c:ser>
        <c:ser>
          <c:idx val="7"/>
          <c:order val="7"/>
          <c:invertIfNegative val="0"/>
          <c:cat>
            <c:strRef>
              <c:f>Summary!$A$9:$A$17</c:f>
              <c:strCache>
                <c:ptCount val="9"/>
                <c:pt idx="0">
                  <c:v>Prog1:Admin</c:v>
                </c:pt>
                <c:pt idx="1">
                  <c:v>Prog2:LACE</c:v>
                </c:pt>
                <c:pt idx="2">
                  <c:v>Prog3:OC</c:v>
                </c:pt>
                <c:pt idx="3">
                  <c:v>Prog4:CC</c:v>
                </c:pt>
                <c:pt idx="4">
                  <c:v>Prog5:B &amp; C</c:v>
                </c:pt>
                <c:pt idx="5">
                  <c:v>Prog6:EP</c:v>
                </c:pt>
                <c:pt idx="6">
                  <c:v>Prog7:CWM</c:v>
                </c:pt>
                <c:pt idx="8">
                  <c:v>Grand Total</c:v>
                </c:pt>
              </c:strCache>
            </c:strRef>
          </c:cat>
          <c:val>
            <c:numRef>
              <c:f>Summary!$I$9:$I$17</c:f>
              <c:numCache>
                <c:formatCode>#,##0</c:formatCode>
                <c:ptCount val="9"/>
                <c:pt idx="0">
                  <c:v>36506040.079999998</c:v>
                </c:pt>
                <c:pt idx="1">
                  <c:v>10752599.970000001</c:v>
                </c:pt>
                <c:pt idx="2">
                  <c:v>194181000.41</c:v>
                </c:pt>
                <c:pt idx="3">
                  <c:v>15717200.640000001</c:v>
                </c:pt>
                <c:pt idx="4">
                  <c:v>13882166.360000001</c:v>
                </c:pt>
                <c:pt idx="5">
                  <c:v>26627686.460000001</c:v>
                </c:pt>
                <c:pt idx="6">
                  <c:v>155131614.74000001</c:v>
                </c:pt>
                <c:pt idx="8">
                  <c:v>452798308.65999997</c:v>
                </c:pt>
              </c:numCache>
            </c:numRef>
          </c:val>
        </c:ser>
        <c:dLbls>
          <c:showLegendKey val="0"/>
          <c:showVal val="0"/>
          <c:showCatName val="0"/>
          <c:showSerName val="0"/>
          <c:showPercent val="0"/>
          <c:showBubbleSize val="0"/>
        </c:dLbls>
        <c:gapWidth val="150"/>
        <c:axId val="222582568"/>
        <c:axId val="222581392"/>
      </c:barChart>
      <c:catAx>
        <c:axId val="222582568"/>
        <c:scaling>
          <c:orientation val="minMax"/>
        </c:scaling>
        <c:delete val="0"/>
        <c:axPos val="b"/>
        <c:numFmt formatCode="General" sourceLinked="0"/>
        <c:majorTickMark val="out"/>
        <c:minorTickMark val="none"/>
        <c:tickLblPos val="nextTo"/>
        <c:txPr>
          <a:bodyPr/>
          <a:lstStyle/>
          <a:p>
            <a:pPr>
              <a:defRPr sz="1600"/>
            </a:pPr>
            <a:endParaRPr lang="en-US"/>
          </a:p>
        </c:txPr>
        <c:crossAx val="222581392"/>
        <c:crosses val="autoZero"/>
        <c:auto val="1"/>
        <c:lblAlgn val="ctr"/>
        <c:lblOffset val="100"/>
        <c:noMultiLvlLbl val="0"/>
      </c:catAx>
      <c:valAx>
        <c:axId val="222581392"/>
        <c:scaling>
          <c:orientation val="minMax"/>
        </c:scaling>
        <c:delete val="0"/>
        <c:axPos val="l"/>
        <c:majorGridlines/>
        <c:numFmt formatCode="#,##0" sourceLinked="1"/>
        <c:majorTickMark val="out"/>
        <c:minorTickMark val="none"/>
        <c:tickLblPos val="nextTo"/>
        <c:crossAx val="222582568"/>
        <c:crosses val="autoZero"/>
        <c:crossBetween val="between"/>
      </c:valAx>
    </c:plotArea>
    <c:legend>
      <c:legendPos val="r"/>
      <c:layout>
        <c:manualLayout>
          <c:xMode val="edge"/>
          <c:yMode val="edge"/>
          <c:x val="0.94957186365762947"/>
          <c:y val="0.2455883439612252"/>
          <c:w val="4.4641740462831175E-2"/>
          <c:h val="0.40007598675749978"/>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Summary!$C$7:$C$8</c:f>
              <c:strCache>
                <c:ptCount val="2"/>
                <c:pt idx="0">
                  <c:v>Business &amp; Advisory</c:v>
                </c:pt>
                <c:pt idx="1">
                  <c:v>R</c:v>
                </c:pt>
              </c:strCache>
            </c:strRef>
          </c:tx>
          <c:invertIfNegative val="0"/>
          <c:val>
            <c:numRef>
              <c:f>Summary!$C$9:$C$17</c:f>
              <c:numCache>
                <c:formatCode>#,##0</c:formatCode>
                <c:ptCount val="9"/>
                <c:pt idx="0">
                  <c:v>34362368.710000001</c:v>
                </c:pt>
                <c:pt idx="1">
                  <c:v>2456402.7799999998</c:v>
                </c:pt>
                <c:pt idx="2">
                  <c:v>25686009.079999998</c:v>
                </c:pt>
                <c:pt idx="3">
                  <c:v>15703641.090000002</c:v>
                </c:pt>
                <c:pt idx="4">
                  <c:v>8579809.5500000007</c:v>
                </c:pt>
                <c:pt idx="5">
                  <c:v>25939799.789999999</c:v>
                </c:pt>
                <c:pt idx="6">
                  <c:v>55224572.099999994</c:v>
                </c:pt>
                <c:pt idx="8">
                  <c:v>167952603.09999999</c:v>
                </c:pt>
              </c:numCache>
            </c:numRef>
          </c:val>
        </c:ser>
        <c:ser>
          <c:idx val="1"/>
          <c:order val="1"/>
          <c:tx>
            <c:strRef>
              <c:f>Summary!$D$7:$D$8</c:f>
              <c:strCache>
                <c:ptCount val="2"/>
                <c:pt idx="0">
                  <c:v>Infrastructure &amp; Planning Services</c:v>
                </c:pt>
                <c:pt idx="1">
                  <c:v>R</c:v>
                </c:pt>
              </c:strCache>
            </c:strRef>
          </c:tx>
          <c:invertIfNegative val="0"/>
          <c:val>
            <c:numRef>
              <c:f>Summary!$D$9:$D$17</c:f>
              <c:numCache>
                <c:formatCode>#,##0</c:formatCode>
                <c:ptCount val="9"/>
                <c:pt idx="0">
                  <c:v>0</c:v>
                </c:pt>
                <c:pt idx="1">
                  <c:v>0</c:v>
                </c:pt>
                <c:pt idx="2">
                  <c:v>0</c:v>
                </c:pt>
                <c:pt idx="3">
                  <c:v>0</c:v>
                </c:pt>
                <c:pt idx="4">
                  <c:v>0</c:v>
                </c:pt>
                <c:pt idx="5">
                  <c:v>0</c:v>
                </c:pt>
                <c:pt idx="6">
                  <c:v>0</c:v>
                </c:pt>
                <c:pt idx="8">
                  <c:v>0</c:v>
                </c:pt>
              </c:numCache>
            </c:numRef>
          </c:val>
        </c:ser>
        <c:ser>
          <c:idx val="2"/>
          <c:order val="2"/>
          <c:tx>
            <c:strRef>
              <c:f>Summary!$E$7:$E$8</c:f>
              <c:strCache>
                <c:ptCount val="2"/>
                <c:pt idx="0">
                  <c:v>Legal Services</c:v>
                </c:pt>
                <c:pt idx="1">
                  <c:v>R</c:v>
                </c:pt>
              </c:strCache>
            </c:strRef>
          </c:tx>
          <c:invertIfNegative val="0"/>
          <c:val>
            <c:numRef>
              <c:f>Summary!$E$9:$E$17</c:f>
              <c:numCache>
                <c:formatCode>#,##0</c:formatCode>
                <c:ptCount val="9"/>
                <c:pt idx="0">
                  <c:v>863642.89</c:v>
                </c:pt>
                <c:pt idx="1">
                  <c:v>6371197.0200000005</c:v>
                </c:pt>
                <c:pt idx="2">
                  <c:v>905640.07000000007</c:v>
                </c:pt>
                <c:pt idx="3">
                  <c:v>9160.7000000000007</c:v>
                </c:pt>
                <c:pt idx="4">
                  <c:v>419714.99</c:v>
                </c:pt>
                <c:pt idx="5">
                  <c:v>9547.7999999999993</c:v>
                </c:pt>
                <c:pt idx="6">
                  <c:v>4451827.34</c:v>
                </c:pt>
                <c:pt idx="8">
                  <c:v>13030730.810000001</c:v>
                </c:pt>
              </c:numCache>
            </c:numRef>
          </c:val>
        </c:ser>
        <c:ser>
          <c:idx val="3"/>
          <c:order val="3"/>
          <c:tx>
            <c:strRef>
              <c:f>Summary!$F$7:$F$8</c:f>
              <c:strCache>
                <c:ptCount val="2"/>
                <c:pt idx="0">
                  <c:v>Laboratory Services</c:v>
                </c:pt>
                <c:pt idx="1">
                  <c:v>R</c:v>
                </c:pt>
              </c:strCache>
            </c:strRef>
          </c:tx>
          <c:invertIfNegative val="0"/>
          <c:val>
            <c:numRef>
              <c:f>Summary!$F$9:$F$17</c:f>
              <c:numCache>
                <c:formatCode>#,##0</c:formatCode>
                <c:ptCount val="9"/>
                <c:pt idx="0">
                  <c:v>25040.440000000002</c:v>
                </c:pt>
                <c:pt idx="1">
                  <c:v>1765319.44</c:v>
                </c:pt>
                <c:pt idx="2">
                  <c:v>200</c:v>
                </c:pt>
                <c:pt idx="3">
                  <c:v>0</c:v>
                </c:pt>
                <c:pt idx="4">
                  <c:v>0</c:v>
                </c:pt>
                <c:pt idx="5">
                  <c:v>0</c:v>
                </c:pt>
                <c:pt idx="6">
                  <c:v>0</c:v>
                </c:pt>
                <c:pt idx="8">
                  <c:v>1790559.88</c:v>
                </c:pt>
              </c:numCache>
            </c:numRef>
          </c:val>
        </c:ser>
        <c:ser>
          <c:idx val="4"/>
          <c:order val="4"/>
          <c:tx>
            <c:strRef>
              <c:f>Summary!$G$7:$G$8</c:f>
              <c:strCache>
                <c:ptCount val="2"/>
                <c:pt idx="0">
                  <c:v>Agency&amp;Outsourced Services</c:v>
                </c:pt>
                <c:pt idx="1">
                  <c:v>R</c:v>
                </c:pt>
              </c:strCache>
            </c:strRef>
          </c:tx>
          <c:invertIfNegative val="0"/>
          <c:val>
            <c:numRef>
              <c:f>Summary!$G$9:$G$17</c:f>
              <c:numCache>
                <c:formatCode>#,##0</c:formatCode>
                <c:ptCount val="9"/>
                <c:pt idx="0">
                  <c:v>155588.32</c:v>
                </c:pt>
                <c:pt idx="1">
                  <c:v>2629.5</c:v>
                </c:pt>
                <c:pt idx="2">
                  <c:v>162945534.76999998</c:v>
                </c:pt>
                <c:pt idx="3">
                  <c:v>0</c:v>
                </c:pt>
                <c:pt idx="4">
                  <c:v>0</c:v>
                </c:pt>
                <c:pt idx="5">
                  <c:v>0</c:v>
                </c:pt>
                <c:pt idx="6">
                  <c:v>27422612.809999999</c:v>
                </c:pt>
                <c:pt idx="8">
                  <c:v>190526365.39999998</c:v>
                </c:pt>
              </c:numCache>
            </c:numRef>
          </c:val>
        </c:ser>
        <c:ser>
          <c:idx val="5"/>
          <c:order val="5"/>
          <c:tx>
            <c:strRef>
              <c:f>Summary!$H$7:$H$8</c:f>
              <c:strCache>
                <c:ptCount val="2"/>
                <c:pt idx="0">
                  <c:v>Contractors</c:v>
                </c:pt>
                <c:pt idx="1">
                  <c:v>R</c:v>
                </c:pt>
              </c:strCache>
            </c:strRef>
          </c:tx>
          <c:invertIfNegative val="0"/>
          <c:val>
            <c:numRef>
              <c:f>Summary!$H$9:$H$17</c:f>
              <c:numCache>
                <c:formatCode>#,##0</c:formatCode>
                <c:ptCount val="9"/>
                <c:pt idx="0">
                  <c:v>1099399.7199999997</c:v>
                </c:pt>
                <c:pt idx="1">
                  <c:v>157051.22999999998</c:v>
                </c:pt>
                <c:pt idx="2">
                  <c:v>4643616.4900000012</c:v>
                </c:pt>
                <c:pt idx="3">
                  <c:v>4398.8500000000004</c:v>
                </c:pt>
                <c:pt idx="4">
                  <c:v>4882641.82</c:v>
                </c:pt>
                <c:pt idx="5">
                  <c:v>678338.87</c:v>
                </c:pt>
                <c:pt idx="6">
                  <c:v>68032602.49000001</c:v>
                </c:pt>
                <c:pt idx="8">
                  <c:v>79498049.470000014</c:v>
                </c:pt>
              </c:numCache>
            </c:numRef>
          </c:val>
        </c:ser>
        <c:dLbls>
          <c:showLegendKey val="0"/>
          <c:showVal val="0"/>
          <c:showCatName val="0"/>
          <c:showSerName val="0"/>
          <c:showPercent val="0"/>
          <c:showBubbleSize val="0"/>
        </c:dLbls>
        <c:gapWidth val="150"/>
        <c:axId val="222581000"/>
        <c:axId val="222583352"/>
      </c:barChart>
      <c:catAx>
        <c:axId val="222581000"/>
        <c:scaling>
          <c:orientation val="minMax"/>
        </c:scaling>
        <c:delete val="0"/>
        <c:axPos val="b"/>
        <c:majorTickMark val="out"/>
        <c:minorTickMark val="none"/>
        <c:tickLblPos val="nextTo"/>
        <c:crossAx val="222583352"/>
        <c:crosses val="autoZero"/>
        <c:auto val="1"/>
        <c:lblAlgn val="ctr"/>
        <c:lblOffset val="100"/>
        <c:noMultiLvlLbl val="0"/>
      </c:catAx>
      <c:valAx>
        <c:axId val="222583352"/>
        <c:scaling>
          <c:orientation val="minMax"/>
        </c:scaling>
        <c:delete val="0"/>
        <c:axPos val="l"/>
        <c:majorGridlines/>
        <c:numFmt formatCode="#,##0" sourceLinked="1"/>
        <c:majorTickMark val="out"/>
        <c:minorTickMark val="none"/>
        <c:tickLblPos val="nextTo"/>
        <c:crossAx val="222581000"/>
        <c:crosses val="autoZero"/>
        <c:crossBetween val="between"/>
      </c:valAx>
    </c:plotArea>
    <c:legend>
      <c:legendPos val="r"/>
      <c:layout>
        <c:manualLayout>
          <c:xMode val="edge"/>
          <c:yMode val="edge"/>
          <c:x val="0.86751454183284182"/>
          <c:y val="0.32406694561595323"/>
          <c:w val="0.12777249786030365"/>
          <c:h val="0.4689606376138237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429638</xdr:colOff>
      <xdr:row>20</xdr:row>
      <xdr:rowOff>239542</xdr:rowOff>
    </xdr:from>
    <xdr:to>
      <xdr:col>10</xdr:col>
      <xdr:colOff>324256</xdr:colOff>
      <xdr:row>50</xdr:row>
      <xdr:rowOff>20267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875488</xdr:colOff>
      <xdr:row>55</xdr:row>
      <xdr:rowOff>57148</xdr:rowOff>
    </xdr:from>
    <xdr:to>
      <xdr:col>10</xdr:col>
      <xdr:colOff>0</xdr:colOff>
      <xdr:row>97</xdr:row>
      <xdr:rowOff>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340178</xdr:colOff>
      <xdr:row>1</xdr:row>
      <xdr:rowOff>0</xdr:rowOff>
    </xdr:from>
    <xdr:to>
      <xdr:col>1</xdr:col>
      <xdr:colOff>1367517</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340178" y="190500"/>
          <a:ext cx="3694339" cy="1183821"/>
        </a:xfrm>
        <a:prstGeom prst="rect">
          <a:avLst/>
        </a:prstGeom>
        <a:noFill/>
        <a:ln w="9525">
          <a:noFill/>
          <a:round/>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432954</xdr:colOff>
      <xdr:row>1</xdr:row>
      <xdr:rowOff>17319</xdr:rowOff>
    </xdr:from>
    <xdr:to>
      <xdr:col>1</xdr:col>
      <xdr:colOff>2489488</xdr:colOff>
      <xdr:row>6</xdr:row>
      <xdr:rowOff>380135</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432954" y="225137"/>
          <a:ext cx="4723534" cy="1401907"/>
        </a:xfrm>
        <a:prstGeom prst="rect">
          <a:avLst/>
        </a:prstGeom>
        <a:noFill/>
        <a:ln w="9525">
          <a:noFill/>
          <a:round/>
          <a:headEnd/>
          <a:tailEn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517071</xdr:colOff>
      <xdr:row>1</xdr:row>
      <xdr:rowOff>0</xdr:rowOff>
    </xdr:from>
    <xdr:to>
      <xdr:col>1</xdr:col>
      <xdr:colOff>1544410</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517071" y="204107"/>
          <a:ext cx="3694339" cy="1319893"/>
        </a:xfrm>
        <a:prstGeom prst="rect">
          <a:avLst/>
        </a:prstGeom>
        <a:noFill/>
        <a:ln w="9525">
          <a:noFill/>
          <a:round/>
          <a:headEnd/>
          <a:tailEnd/>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0</xdr:row>
      <xdr:rowOff>176893</xdr:rowOff>
    </xdr:from>
    <xdr:to>
      <xdr:col>1</xdr:col>
      <xdr:colOff>1408339</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381000" y="176893"/>
          <a:ext cx="3694339" cy="1333500"/>
        </a:xfrm>
        <a:prstGeom prst="rect">
          <a:avLst/>
        </a:prstGeom>
        <a:noFill/>
        <a:ln w="9525">
          <a:noFill/>
          <a:round/>
          <a:headEnd/>
          <a:tailEnd/>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625928</xdr:colOff>
      <xdr:row>0</xdr:row>
      <xdr:rowOff>190500</xdr:rowOff>
    </xdr:from>
    <xdr:to>
      <xdr:col>1</xdr:col>
      <xdr:colOff>1639660</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625928" y="190500"/>
          <a:ext cx="3785507" cy="1209675"/>
        </a:xfrm>
        <a:prstGeom prst="rect">
          <a:avLst/>
        </a:prstGeom>
        <a:noFill/>
        <a:ln w="9525">
          <a:noFill/>
          <a:round/>
          <a:headEnd/>
          <a:tailEn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653142</xdr:colOff>
      <xdr:row>1</xdr:row>
      <xdr:rowOff>122464</xdr:rowOff>
    </xdr:from>
    <xdr:to>
      <xdr:col>1</xdr:col>
      <xdr:colOff>1680481</xdr:colOff>
      <xdr:row>7</xdr:row>
      <xdr:rowOff>68036</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653142" y="326571"/>
          <a:ext cx="3694339" cy="1374322"/>
        </a:xfrm>
        <a:prstGeom prst="rect">
          <a:avLst/>
        </a:prstGeom>
        <a:noFill/>
        <a:ln w="9525">
          <a:noFill/>
          <a:round/>
          <a:headEnd/>
          <a:tailEnd/>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653142</xdr:colOff>
      <xdr:row>1</xdr:row>
      <xdr:rowOff>122464</xdr:rowOff>
    </xdr:from>
    <xdr:to>
      <xdr:col>1</xdr:col>
      <xdr:colOff>1680481</xdr:colOff>
      <xdr:row>7</xdr:row>
      <xdr:rowOff>68036</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653142" y="351064"/>
          <a:ext cx="3694339" cy="1317172"/>
        </a:xfrm>
        <a:prstGeom prst="rect">
          <a:avLst/>
        </a:prstGeom>
        <a:noFill/>
        <a:ln w="9525">
          <a:noFill/>
          <a:round/>
          <a:headEnd/>
          <a:tailEn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view="pageBreakPreview" zoomScale="47" zoomScaleSheetLayoutView="47" workbookViewId="0">
      <selection activeCell="A17" sqref="A17"/>
    </sheetView>
  </sheetViews>
  <sheetFormatPr defaultColWidth="9.1796875" defaultRowHeight="18.5" x14ac:dyDescent="0.45"/>
  <cols>
    <col min="1" max="1" width="24.54296875" style="92" customWidth="1"/>
    <col min="2" max="2" width="31.1796875" style="92" customWidth="1"/>
    <col min="3" max="4" width="26" style="92" customWidth="1"/>
    <col min="5" max="6" width="27" style="92" customWidth="1"/>
    <col min="7" max="7" width="28" style="92" customWidth="1"/>
    <col min="8" max="8" width="20.54296875" style="92" customWidth="1"/>
    <col min="9" max="9" width="22.54296875" style="92" bestFit="1" customWidth="1"/>
    <col min="10" max="10" width="22.54296875" style="92" customWidth="1"/>
    <col min="11" max="11" width="10" style="92" bestFit="1" customWidth="1"/>
    <col min="12" max="12" width="11.1796875" style="92" customWidth="1"/>
    <col min="13" max="16384" width="9.1796875" style="92"/>
  </cols>
  <sheetData>
    <row r="1" spans="1:12" s="91" customFormat="1" ht="17.5" x14ac:dyDescent="0.35"/>
    <row r="2" spans="1:12" ht="51" customHeight="1" x14ac:dyDescent="0.5">
      <c r="A2" s="259" t="s">
        <v>587</v>
      </c>
      <c r="B2" s="259"/>
      <c r="C2" s="259"/>
      <c r="D2" s="259"/>
      <c r="E2" s="259"/>
      <c r="F2" s="259"/>
      <c r="G2" s="259"/>
      <c r="H2" s="259"/>
      <c r="I2" s="259"/>
      <c r="J2" s="259"/>
      <c r="K2" s="259"/>
      <c r="L2" s="259"/>
    </row>
    <row r="3" spans="1:12" ht="51" customHeight="1" x14ac:dyDescent="0.65">
      <c r="A3" s="179"/>
      <c r="B3" s="179"/>
      <c r="C3" s="179"/>
      <c r="D3" s="220"/>
      <c r="E3" s="179"/>
      <c r="F3" s="185"/>
      <c r="G3" s="179"/>
      <c r="H3" s="179"/>
      <c r="I3" s="179"/>
      <c r="J3" s="208"/>
      <c r="K3" s="257" t="s">
        <v>733</v>
      </c>
      <c r="L3" s="179"/>
    </row>
    <row r="5" spans="1:12" ht="19" thickBot="1" x14ac:dyDescent="0.5"/>
    <row r="6" spans="1:12" ht="42.75" customHeight="1" thickBot="1" x14ac:dyDescent="0.5">
      <c r="A6" s="260" t="s">
        <v>732</v>
      </c>
      <c r="B6" s="261"/>
      <c r="C6" s="261"/>
      <c r="D6" s="261"/>
      <c r="E6" s="261"/>
      <c r="F6" s="261"/>
      <c r="G6" s="261"/>
      <c r="H6" s="261"/>
      <c r="I6" s="261"/>
      <c r="J6" s="215"/>
    </row>
    <row r="7" spans="1:12" s="207" customFormat="1" ht="47" x14ac:dyDescent="0.35">
      <c r="A7" s="246" t="s">
        <v>23</v>
      </c>
      <c r="B7" s="247" t="s">
        <v>22</v>
      </c>
      <c r="C7" s="247" t="s">
        <v>20</v>
      </c>
      <c r="D7" s="247" t="s">
        <v>46</v>
      </c>
      <c r="E7" s="247" t="s">
        <v>41</v>
      </c>
      <c r="F7" s="247" t="s">
        <v>43</v>
      </c>
      <c r="G7" s="247" t="s">
        <v>40</v>
      </c>
      <c r="H7" s="247" t="s">
        <v>21</v>
      </c>
      <c r="I7" s="247" t="s">
        <v>42</v>
      </c>
      <c r="J7" s="248" t="s">
        <v>45</v>
      </c>
      <c r="K7" s="218" t="s">
        <v>44</v>
      </c>
    </row>
    <row r="8" spans="1:12" s="207" customFormat="1" ht="24" thickBot="1" x14ac:dyDescent="0.4">
      <c r="A8" s="209"/>
      <c r="B8" s="244" t="s">
        <v>47</v>
      </c>
      <c r="C8" s="244" t="s">
        <v>47</v>
      </c>
      <c r="D8" s="244" t="s">
        <v>47</v>
      </c>
      <c r="E8" s="244" t="s">
        <v>47</v>
      </c>
      <c r="F8" s="244" t="s">
        <v>47</v>
      </c>
      <c r="G8" s="244" t="s">
        <v>47</v>
      </c>
      <c r="H8" s="244" t="s">
        <v>47</v>
      </c>
      <c r="I8" s="244" t="s">
        <v>47</v>
      </c>
      <c r="J8" s="245" t="s">
        <v>47</v>
      </c>
    </row>
    <row r="9" spans="1:12" ht="27.75" customHeight="1" x14ac:dyDescent="0.55000000000000004">
      <c r="A9" s="238" t="s">
        <v>33</v>
      </c>
      <c r="B9" s="240">
        <v>38000000</v>
      </c>
      <c r="C9" s="241">
        <f>'Prog 1-Administration'!H40</f>
        <v>34362368.710000001</v>
      </c>
      <c r="D9" s="241">
        <f>'Prog 1-Administration'!H46</f>
        <v>0</v>
      </c>
      <c r="E9" s="241">
        <f>'Prog 1-Administration'!H59</f>
        <v>863642.89</v>
      </c>
      <c r="F9" s="241">
        <f>'Prog 1-Administration'!H52</f>
        <v>25040.440000000002</v>
      </c>
      <c r="G9" s="241">
        <f>'Prog 1-Administration'!H107</f>
        <v>155588.32</v>
      </c>
      <c r="H9" s="241">
        <f>'Prog 1-Administration'!H99</f>
        <v>1099399.7199999997</v>
      </c>
      <c r="I9" s="240">
        <f t="shared" ref="I9:I15" si="0">SUM(C9:H9)</f>
        <v>36506040.079999998</v>
      </c>
      <c r="J9" s="239">
        <f t="shared" ref="J9:J15" si="1">B9-I9</f>
        <v>1493959.9200000018</v>
      </c>
      <c r="K9" s="214">
        <f t="shared" ref="K9:K15" si="2">I9/B9</f>
        <v>0.96068526526315789</v>
      </c>
    </row>
    <row r="10" spans="1:12" ht="27.75" customHeight="1" x14ac:dyDescent="0.55000000000000004">
      <c r="A10" s="210" t="s">
        <v>35</v>
      </c>
      <c r="B10" s="242">
        <v>12700000</v>
      </c>
      <c r="C10" s="243">
        <f>'Prog 2-Legal, Auth &amp; Compl'!H23</f>
        <v>2456402.7799999998</v>
      </c>
      <c r="D10" s="243">
        <f>'Prog 2-Legal, Auth &amp; Compl'!H29</f>
        <v>0</v>
      </c>
      <c r="E10" s="243">
        <f>'Prog 2-Legal, Auth &amp; Compl'!H42</f>
        <v>6371197.0200000005</v>
      </c>
      <c r="F10" s="243">
        <f>'Prog 2-Legal, Auth &amp; Compl'!H36</f>
        <v>1765319.44</v>
      </c>
      <c r="G10" s="243">
        <f>'Prog 2-Legal, Auth &amp; Compl'!H58</f>
        <v>2629.5</v>
      </c>
      <c r="H10" s="243">
        <f>'Prog 2-Legal, Auth &amp; Compl'!H51</f>
        <v>157051.22999999998</v>
      </c>
      <c r="I10" s="242">
        <f t="shared" si="0"/>
        <v>10752599.970000001</v>
      </c>
      <c r="J10" s="217">
        <f t="shared" si="1"/>
        <v>1947400.0299999993</v>
      </c>
      <c r="K10" s="214">
        <f t="shared" si="2"/>
        <v>0.84666141496062997</v>
      </c>
    </row>
    <row r="11" spans="1:12" ht="17.25" customHeight="1" x14ac:dyDescent="0.55000000000000004">
      <c r="A11" s="210" t="s">
        <v>34</v>
      </c>
      <c r="B11" s="242">
        <v>200400000</v>
      </c>
      <c r="C11" s="243">
        <f>'Prog 3-Ocean &amp;Coasts'!H26</f>
        <v>25686009.079999998</v>
      </c>
      <c r="D11" s="243">
        <f>'Prog 3-Ocean &amp;Coasts'!H33</f>
        <v>0</v>
      </c>
      <c r="E11" s="243">
        <f>'Prog 3-Ocean &amp;Coasts'!H47</f>
        <v>905640.07000000007</v>
      </c>
      <c r="F11" s="243">
        <f>'Prog 3-Ocean &amp;Coasts'!H41</f>
        <v>200</v>
      </c>
      <c r="G11" s="243">
        <f>'Prog 3-Ocean &amp;Coasts'!H73</f>
        <v>162945534.76999998</v>
      </c>
      <c r="H11" s="243">
        <f>'Prog 3-Ocean &amp;Coasts'!H66</f>
        <v>4643616.4900000012</v>
      </c>
      <c r="I11" s="242">
        <f t="shared" si="0"/>
        <v>194181000.41</v>
      </c>
      <c r="J11" s="217">
        <f t="shared" si="1"/>
        <v>6218999.5900000036</v>
      </c>
      <c r="K11" s="214">
        <f t="shared" si="2"/>
        <v>0.96896706791417164</v>
      </c>
    </row>
    <row r="12" spans="1:12" ht="28.5" customHeight="1" x14ac:dyDescent="0.55000000000000004">
      <c r="A12" s="210" t="s">
        <v>36</v>
      </c>
      <c r="B12" s="242">
        <v>16200000</v>
      </c>
      <c r="C12" s="243">
        <f>'Prog4-Climate Chng&amp;Air Quality '!H26</f>
        <v>15703641.090000002</v>
      </c>
      <c r="D12" s="243">
        <f>'Prog4-Climate Chng&amp;Air Quality '!H32</f>
        <v>0</v>
      </c>
      <c r="E12" s="243">
        <f>'Prog4-Climate Chng&amp;Air Quality '!H44</f>
        <v>9160.7000000000007</v>
      </c>
      <c r="F12" s="243">
        <f>'Prog4-Climate Chng&amp;Air Quality '!H39</f>
        <v>0</v>
      </c>
      <c r="G12" s="243">
        <f>'Prog4-Climate Chng&amp;Air Quality '!H56</f>
        <v>0</v>
      </c>
      <c r="H12" s="243">
        <f>'Prog4-Climate Chng&amp;Air Quality '!H50</f>
        <v>4398.8500000000004</v>
      </c>
      <c r="I12" s="242">
        <f t="shared" si="0"/>
        <v>15717200.640000001</v>
      </c>
      <c r="J12" s="217">
        <f t="shared" si="1"/>
        <v>482799.3599999994</v>
      </c>
      <c r="K12" s="214">
        <f t="shared" si="2"/>
        <v>0.97019757037037035</v>
      </c>
    </row>
    <row r="13" spans="1:12" ht="32.25" customHeight="1" x14ac:dyDescent="0.55000000000000004">
      <c r="A13" s="210" t="s">
        <v>37</v>
      </c>
      <c r="B13" s="242">
        <v>13900000</v>
      </c>
      <c r="C13" s="243">
        <f>'Prog5-Bioderv&amp;Conservation'!H26</f>
        <v>8579809.5500000007</v>
      </c>
      <c r="D13" s="243">
        <f>'Prog5-Bioderv&amp;Conservation'!H32</f>
        <v>0</v>
      </c>
      <c r="E13" s="243">
        <f>'Prog5-Bioderv&amp;Conservation'!H44</f>
        <v>419714.99</v>
      </c>
      <c r="F13" s="243">
        <f>'Prog5-Bioderv&amp;Conservation'!H38</f>
        <v>0</v>
      </c>
      <c r="G13" s="243">
        <f>'Prog5-Bioderv&amp;Conservation'!H63</f>
        <v>0</v>
      </c>
      <c r="H13" s="243">
        <f>'Prog5-Bioderv&amp;Conservation'!H55</f>
        <v>4882641.82</v>
      </c>
      <c r="I13" s="242">
        <f t="shared" si="0"/>
        <v>13882166.360000001</v>
      </c>
      <c r="J13" s="217">
        <f t="shared" si="1"/>
        <v>17833.639999998733</v>
      </c>
      <c r="K13" s="214">
        <f t="shared" si="2"/>
        <v>0.99871700431654686</v>
      </c>
    </row>
    <row r="14" spans="1:12" ht="33.75" customHeight="1" x14ac:dyDescent="0.55000000000000004">
      <c r="A14" s="210" t="s">
        <v>38</v>
      </c>
      <c r="B14" s="242">
        <v>27200000</v>
      </c>
      <c r="C14" s="243">
        <f>'Prog6-Environmental Programmes'!H22</f>
        <v>25939799.789999999</v>
      </c>
      <c r="D14" s="243">
        <f>'Prog6-Environmental Programmes'!H29</f>
        <v>0</v>
      </c>
      <c r="E14" s="243">
        <f>'Prog6-Environmental Programmes'!H42</f>
        <v>9547.7999999999993</v>
      </c>
      <c r="F14" s="243">
        <f>'Prog6-Environmental Programmes'!H35</f>
        <v>0</v>
      </c>
      <c r="G14" s="243">
        <f>'Prog6-Environmental Programmes'!H63</f>
        <v>0</v>
      </c>
      <c r="H14" s="243">
        <f>'Prog6-Environmental Programmes'!H57</f>
        <v>678338.87</v>
      </c>
      <c r="I14" s="242">
        <f t="shared" si="0"/>
        <v>26627686.460000001</v>
      </c>
      <c r="J14" s="217">
        <f t="shared" si="1"/>
        <v>572313.53999999911</v>
      </c>
      <c r="K14" s="214">
        <f t="shared" si="2"/>
        <v>0.97895906102941177</v>
      </c>
    </row>
    <row r="15" spans="1:12" ht="34.5" customHeight="1" x14ac:dyDescent="0.55000000000000004">
      <c r="A15" s="210" t="s">
        <v>39</v>
      </c>
      <c r="B15" s="242">
        <v>156700000</v>
      </c>
      <c r="C15" s="243">
        <f>'Prog7-Chemica&amp;Waste'!H33</f>
        <v>55224572.099999994</v>
      </c>
      <c r="D15" s="243">
        <f>'Prog7-Chemica&amp;Waste'!H39</f>
        <v>0</v>
      </c>
      <c r="E15" s="243">
        <f>'Prog7-Chemica&amp;Waste'!H52</f>
        <v>4451827.34</v>
      </c>
      <c r="F15" s="243">
        <f>'Prog7-Chemica&amp;Waste'!H45</f>
        <v>0</v>
      </c>
      <c r="G15" s="243">
        <f>'Prog7-Chemica&amp;Waste'!H65</f>
        <v>27422612.809999999</v>
      </c>
      <c r="H15" s="243">
        <f>'Prog7-Chemica&amp;Waste'!H60</f>
        <v>68032602.49000001</v>
      </c>
      <c r="I15" s="242">
        <f t="shared" si="0"/>
        <v>155131614.74000001</v>
      </c>
      <c r="J15" s="217">
        <f t="shared" si="1"/>
        <v>1568385.2599999905</v>
      </c>
      <c r="K15" s="214">
        <f t="shared" si="2"/>
        <v>0.98999115979578822</v>
      </c>
    </row>
    <row r="16" spans="1:12" ht="34.5" customHeight="1" thickBot="1" x14ac:dyDescent="0.6">
      <c r="A16" s="210"/>
      <c r="B16" s="242"/>
      <c r="C16" s="243"/>
      <c r="D16" s="243"/>
      <c r="E16" s="243"/>
      <c r="F16" s="243"/>
      <c r="G16" s="243"/>
      <c r="H16" s="243"/>
      <c r="I16" s="242"/>
      <c r="J16" s="217"/>
      <c r="K16" s="214"/>
    </row>
    <row r="17" spans="1:11" ht="21" customHeight="1" thickTop="1" thickBot="1" x14ac:dyDescent="0.6">
      <c r="A17" s="249" t="s">
        <v>11</v>
      </c>
      <c r="B17" s="250">
        <f t="shared" ref="B17:H17" si="3">SUM(B9:B15)</f>
        <v>465100000</v>
      </c>
      <c r="C17" s="251">
        <f t="shared" si="3"/>
        <v>167952603.09999999</v>
      </c>
      <c r="D17" s="251">
        <f t="shared" si="3"/>
        <v>0</v>
      </c>
      <c r="E17" s="251">
        <f t="shared" si="3"/>
        <v>13030730.810000001</v>
      </c>
      <c r="F17" s="251">
        <f t="shared" si="3"/>
        <v>1790559.88</v>
      </c>
      <c r="G17" s="251">
        <f t="shared" si="3"/>
        <v>190526365.39999998</v>
      </c>
      <c r="H17" s="251">
        <f t="shared" si="3"/>
        <v>79498049.470000014</v>
      </c>
      <c r="I17" s="250">
        <f>SUM(C17:H17)</f>
        <v>452798308.65999997</v>
      </c>
      <c r="J17" s="252">
        <f>B17-I17</f>
        <v>12301691.340000033</v>
      </c>
      <c r="K17" s="214">
        <f>I17/B17</f>
        <v>0.97355043788432583</v>
      </c>
    </row>
    <row r="18" spans="1:11" ht="21" customHeight="1" x14ac:dyDescent="0.55000000000000004">
      <c r="A18" s="216"/>
      <c r="B18" s="212"/>
      <c r="C18" s="213"/>
      <c r="D18" s="213"/>
      <c r="E18" s="213"/>
      <c r="F18" s="213"/>
      <c r="G18" s="213"/>
      <c r="H18" s="213"/>
      <c r="I18" s="212"/>
      <c r="J18" s="211"/>
      <c r="K18" s="214"/>
    </row>
    <row r="19" spans="1:11" ht="21" customHeight="1" x14ac:dyDescent="0.55000000000000004">
      <c r="A19" s="216"/>
      <c r="B19" s="212"/>
      <c r="C19" s="213"/>
      <c r="D19" s="213"/>
      <c r="E19" s="213"/>
      <c r="F19" s="213"/>
      <c r="G19" s="213"/>
      <c r="H19" s="213"/>
      <c r="I19" s="212"/>
      <c r="J19" s="211"/>
      <c r="K19" s="214"/>
    </row>
    <row r="20" spans="1:11" ht="21" customHeight="1" x14ac:dyDescent="0.55000000000000004">
      <c r="A20" s="216"/>
      <c r="B20" s="212"/>
      <c r="C20" s="213"/>
      <c r="D20" s="213"/>
      <c r="E20" s="213"/>
      <c r="F20" s="213"/>
      <c r="G20" s="213"/>
      <c r="H20" s="213"/>
      <c r="I20" s="212"/>
      <c r="J20" s="211"/>
      <c r="K20" s="214"/>
    </row>
    <row r="21" spans="1:11" ht="21" customHeight="1" x14ac:dyDescent="0.55000000000000004">
      <c r="A21" s="216"/>
      <c r="B21" s="212"/>
      <c r="C21" s="213"/>
      <c r="D21" s="213"/>
      <c r="E21" s="213"/>
      <c r="F21" s="213"/>
      <c r="G21" s="213"/>
      <c r="H21" s="213"/>
      <c r="I21" s="212"/>
      <c r="J21" s="211"/>
      <c r="K21" s="214"/>
    </row>
    <row r="22" spans="1:11" ht="21" customHeight="1" x14ac:dyDescent="0.55000000000000004">
      <c r="A22" s="216"/>
      <c r="B22" s="212"/>
      <c r="C22" s="213"/>
      <c r="D22" s="213"/>
      <c r="E22" s="213"/>
      <c r="F22" s="213"/>
      <c r="G22" s="213"/>
      <c r="H22" s="213"/>
      <c r="I22" s="212"/>
      <c r="J22" s="211"/>
      <c r="K22" s="214"/>
    </row>
    <row r="23" spans="1:11" ht="21" customHeight="1" x14ac:dyDescent="0.55000000000000004">
      <c r="A23" s="216"/>
      <c r="B23" s="212"/>
      <c r="C23" s="213"/>
      <c r="D23" s="213"/>
      <c r="E23" s="213"/>
      <c r="F23" s="213"/>
      <c r="G23" s="213"/>
      <c r="H23" s="213"/>
      <c r="I23" s="212"/>
      <c r="J23" s="211"/>
      <c r="K23" s="214"/>
    </row>
    <row r="24" spans="1:11" ht="21" customHeight="1" x14ac:dyDescent="0.55000000000000004">
      <c r="A24" s="216"/>
      <c r="B24" s="212"/>
      <c r="C24" s="213"/>
      <c r="D24" s="213"/>
      <c r="E24" s="213"/>
      <c r="F24" s="213"/>
      <c r="G24" s="213"/>
      <c r="H24" s="213"/>
      <c r="I24" s="212"/>
      <c r="J24" s="211"/>
      <c r="K24" s="214"/>
    </row>
    <row r="25" spans="1:11" ht="21" customHeight="1" x14ac:dyDescent="0.55000000000000004">
      <c r="A25" s="216"/>
      <c r="B25" s="212"/>
      <c r="C25" s="213"/>
      <c r="D25" s="213"/>
      <c r="E25" s="213"/>
      <c r="F25" s="213"/>
      <c r="G25" s="213"/>
      <c r="H25" s="213"/>
      <c r="I25" s="212"/>
      <c r="J25" s="211"/>
      <c r="K25" s="214"/>
    </row>
    <row r="26" spans="1:11" ht="21" customHeight="1" x14ac:dyDescent="0.55000000000000004">
      <c r="A26" s="216"/>
      <c r="B26" s="212"/>
      <c r="C26" s="213"/>
      <c r="D26" s="213"/>
      <c r="E26" s="213"/>
      <c r="F26" s="213"/>
      <c r="G26" s="213"/>
      <c r="H26" s="213"/>
      <c r="I26" s="212"/>
      <c r="J26" s="211"/>
      <c r="K26" s="214"/>
    </row>
    <row r="27" spans="1:11" ht="21" customHeight="1" x14ac:dyDescent="0.55000000000000004">
      <c r="A27" s="216"/>
      <c r="B27" s="212"/>
      <c r="C27" s="213"/>
      <c r="D27" s="213"/>
      <c r="E27" s="213"/>
      <c r="F27" s="213"/>
      <c r="G27" s="213"/>
      <c r="H27" s="213"/>
      <c r="I27" s="212"/>
      <c r="J27" s="211"/>
      <c r="K27" s="214"/>
    </row>
    <row r="28" spans="1:11" ht="21" customHeight="1" x14ac:dyDescent="0.55000000000000004">
      <c r="A28" s="216"/>
      <c r="B28" s="212"/>
      <c r="C28" s="213"/>
      <c r="D28" s="213"/>
      <c r="E28" s="213"/>
      <c r="F28" s="213"/>
      <c r="G28" s="213"/>
      <c r="H28" s="213"/>
      <c r="I28" s="212"/>
      <c r="J28" s="211"/>
      <c r="K28" s="214"/>
    </row>
    <row r="29" spans="1:11" ht="21" customHeight="1" x14ac:dyDescent="0.55000000000000004">
      <c r="A29" s="216"/>
      <c r="B29" s="212"/>
      <c r="C29" s="213"/>
      <c r="D29" s="213"/>
      <c r="E29" s="213"/>
      <c r="F29" s="213"/>
      <c r="G29" s="213"/>
      <c r="H29" s="213"/>
      <c r="I29" s="212"/>
      <c r="J29" s="211"/>
      <c r="K29" s="214"/>
    </row>
    <row r="30" spans="1:11" ht="21" customHeight="1" x14ac:dyDescent="0.55000000000000004">
      <c r="A30" s="216"/>
      <c r="B30" s="212"/>
      <c r="C30" s="213"/>
      <c r="D30" s="213"/>
      <c r="E30" s="213"/>
      <c r="F30" s="213"/>
      <c r="G30" s="213"/>
      <c r="H30" s="213"/>
      <c r="I30" s="212"/>
      <c r="J30" s="211"/>
      <c r="K30" s="214"/>
    </row>
    <row r="31" spans="1:11" ht="21" customHeight="1" x14ac:dyDescent="0.55000000000000004">
      <c r="A31" s="216"/>
      <c r="B31" s="212"/>
      <c r="C31" s="213"/>
      <c r="D31" s="213"/>
      <c r="E31" s="213"/>
      <c r="F31" s="213"/>
      <c r="G31" s="213"/>
      <c r="H31" s="213"/>
      <c r="I31" s="212"/>
      <c r="J31" s="211"/>
      <c r="K31" s="214"/>
    </row>
    <row r="32" spans="1:11" ht="21" customHeight="1" x14ac:dyDescent="0.55000000000000004">
      <c r="A32" s="216"/>
      <c r="B32" s="212"/>
      <c r="C32" s="213"/>
      <c r="D32" s="213"/>
      <c r="E32" s="213"/>
      <c r="F32" s="213"/>
      <c r="G32" s="213"/>
      <c r="H32" s="213"/>
      <c r="I32" s="212"/>
      <c r="J32" s="211"/>
      <c r="K32" s="214"/>
    </row>
    <row r="33" spans="1:11" ht="21" customHeight="1" x14ac:dyDescent="0.55000000000000004">
      <c r="A33" s="216"/>
      <c r="B33" s="212"/>
      <c r="C33" s="213"/>
      <c r="D33" s="213"/>
      <c r="E33" s="213"/>
      <c r="F33" s="213"/>
      <c r="G33" s="213"/>
      <c r="H33" s="213"/>
      <c r="I33" s="212"/>
      <c r="J33" s="211"/>
      <c r="K33" s="214"/>
    </row>
    <row r="34" spans="1:11" ht="21" customHeight="1" x14ac:dyDescent="0.55000000000000004">
      <c r="A34" s="216"/>
      <c r="B34" s="212"/>
      <c r="C34" s="213"/>
      <c r="D34" s="213"/>
      <c r="E34" s="213"/>
      <c r="F34" s="213"/>
      <c r="G34" s="213"/>
      <c r="H34" s="213"/>
      <c r="I34" s="212"/>
      <c r="J34" s="211"/>
      <c r="K34" s="214"/>
    </row>
    <row r="35" spans="1:11" ht="21" customHeight="1" x14ac:dyDescent="0.55000000000000004">
      <c r="A35" s="216"/>
      <c r="B35" s="212"/>
      <c r="C35" s="213"/>
      <c r="D35" s="213"/>
      <c r="E35" s="213"/>
      <c r="F35" s="213"/>
      <c r="G35" s="213"/>
      <c r="H35" s="213"/>
      <c r="I35" s="212"/>
      <c r="J35" s="211"/>
      <c r="K35" s="214"/>
    </row>
    <row r="36" spans="1:11" ht="21" customHeight="1" x14ac:dyDescent="0.55000000000000004">
      <c r="A36" s="216"/>
      <c r="B36" s="212"/>
      <c r="C36" s="213"/>
      <c r="D36" s="213"/>
      <c r="E36" s="213"/>
      <c r="F36" s="213"/>
      <c r="G36" s="213"/>
      <c r="H36" s="213"/>
      <c r="I36" s="212"/>
      <c r="J36" s="211"/>
      <c r="K36" s="214"/>
    </row>
    <row r="37" spans="1:11" ht="21" customHeight="1" x14ac:dyDescent="0.55000000000000004">
      <c r="A37" s="216"/>
      <c r="B37" s="212"/>
      <c r="C37" s="213"/>
      <c r="D37" s="213"/>
      <c r="E37" s="213"/>
      <c r="F37" s="213"/>
      <c r="G37" s="213"/>
      <c r="H37" s="213"/>
      <c r="I37" s="212"/>
      <c r="J37" s="211"/>
      <c r="K37" s="214"/>
    </row>
    <row r="38" spans="1:11" ht="21" customHeight="1" x14ac:dyDescent="0.55000000000000004">
      <c r="A38" s="216"/>
      <c r="B38" s="212"/>
      <c r="C38" s="213"/>
      <c r="D38" s="213"/>
      <c r="E38" s="213"/>
      <c r="F38" s="213"/>
      <c r="G38" s="213"/>
      <c r="H38" s="213"/>
      <c r="I38" s="212"/>
      <c r="J38" s="211"/>
      <c r="K38" s="214"/>
    </row>
    <row r="39" spans="1:11" ht="21" customHeight="1" x14ac:dyDescent="0.55000000000000004">
      <c r="A39" s="216"/>
      <c r="B39" s="212"/>
      <c r="C39" s="213"/>
      <c r="D39" s="213"/>
      <c r="E39" s="213"/>
      <c r="F39" s="213"/>
      <c r="G39" s="213"/>
      <c r="H39" s="213"/>
      <c r="I39" s="212"/>
      <c r="J39" s="211"/>
      <c r="K39" s="214"/>
    </row>
    <row r="40" spans="1:11" ht="21" customHeight="1" x14ac:dyDescent="0.55000000000000004">
      <c r="A40" s="216"/>
      <c r="B40" s="212"/>
      <c r="C40" s="213"/>
      <c r="D40" s="213"/>
      <c r="E40" s="213"/>
      <c r="F40" s="213"/>
      <c r="G40" s="213"/>
      <c r="H40" s="213"/>
      <c r="I40" s="212"/>
      <c r="J40" s="211"/>
      <c r="K40" s="214"/>
    </row>
    <row r="41" spans="1:11" ht="21" customHeight="1" x14ac:dyDescent="0.55000000000000004">
      <c r="A41" s="216"/>
      <c r="B41" s="212"/>
      <c r="C41" s="213"/>
      <c r="D41" s="213"/>
      <c r="E41" s="213"/>
      <c r="F41" s="213"/>
      <c r="G41" s="213"/>
      <c r="H41" s="213"/>
      <c r="I41" s="212"/>
      <c r="J41" s="211"/>
      <c r="K41" s="214"/>
    </row>
    <row r="42" spans="1:11" ht="21" customHeight="1" x14ac:dyDescent="0.55000000000000004">
      <c r="A42" s="216"/>
      <c r="B42" s="212"/>
      <c r="C42" s="213"/>
      <c r="D42" s="213"/>
      <c r="E42" s="213"/>
      <c r="F42" s="213"/>
      <c r="G42" s="213"/>
      <c r="H42" s="213"/>
      <c r="I42" s="212"/>
      <c r="J42" s="211"/>
      <c r="K42" s="214"/>
    </row>
    <row r="43" spans="1:11" ht="21" customHeight="1" x14ac:dyDescent="0.55000000000000004">
      <c r="A43" s="216"/>
      <c r="B43" s="212"/>
      <c r="C43" s="213"/>
      <c r="D43" s="213"/>
      <c r="E43" s="213"/>
      <c r="F43" s="213"/>
      <c r="G43" s="213"/>
      <c r="H43" s="213"/>
      <c r="I43" s="212"/>
      <c r="J43" s="211"/>
      <c r="K43" s="214"/>
    </row>
    <row r="44" spans="1:11" ht="21" customHeight="1" x14ac:dyDescent="0.55000000000000004">
      <c r="A44" s="216"/>
      <c r="B44" s="212"/>
      <c r="C44" s="213"/>
      <c r="D44" s="213"/>
      <c r="E44" s="213"/>
      <c r="F44" s="213"/>
      <c r="G44" s="213"/>
      <c r="H44" s="213"/>
      <c r="I44" s="212"/>
      <c r="J44" s="211"/>
      <c r="K44" s="214"/>
    </row>
    <row r="45" spans="1:11" ht="21" customHeight="1" x14ac:dyDescent="0.55000000000000004">
      <c r="A45" s="216"/>
      <c r="B45" s="212"/>
      <c r="C45" s="213"/>
      <c r="D45" s="213"/>
      <c r="E45" s="213"/>
      <c r="F45" s="213"/>
      <c r="G45" s="213"/>
      <c r="H45" s="213"/>
      <c r="I45" s="212"/>
      <c r="J45" s="211"/>
      <c r="K45" s="214"/>
    </row>
    <row r="46" spans="1:11" ht="21" customHeight="1" x14ac:dyDescent="0.55000000000000004">
      <c r="A46" s="216"/>
      <c r="B46" s="212"/>
      <c r="C46" s="213"/>
      <c r="D46" s="213"/>
      <c r="E46" s="213"/>
      <c r="F46" s="213"/>
      <c r="G46" s="213"/>
      <c r="H46" s="213"/>
      <c r="I46" s="212"/>
      <c r="J46" s="211"/>
      <c r="K46" s="214"/>
    </row>
    <row r="47" spans="1:11" ht="21" customHeight="1" x14ac:dyDescent="0.55000000000000004">
      <c r="A47" s="216"/>
      <c r="B47" s="212"/>
      <c r="C47" s="213"/>
      <c r="D47" s="213"/>
      <c r="E47" s="213"/>
      <c r="F47" s="213"/>
      <c r="G47" s="213"/>
      <c r="H47" s="213"/>
      <c r="I47" s="212"/>
      <c r="J47" s="211"/>
      <c r="K47" s="214"/>
    </row>
    <row r="48" spans="1:11" ht="21" customHeight="1" x14ac:dyDescent="0.55000000000000004">
      <c r="A48" s="216"/>
      <c r="B48" s="212"/>
      <c r="C48" s="213"/>
      <c r="D48" s="213"/>
      <c r="E48" s="213"/>
      <c r="F48" s="213"/>
      <c r="G48" s="213"/>
      <c r="H48" s="213"/>
      <c r="I48" s="212"/>
      <c r="J48" s="211"/>
      <c r="K48" s="214"/>
    </row>
    <row r="49" spans="1:11" ht="21" customHeight="1" x14ac:dyDescent="0.55000000000000004">
      <c r="A49" s="216"/>
      <c r="B49" s="212"/>
      <c r="C49" s="213"/>
      <c r="D49" s="213"/>
      <c r="E49" s="213"/>
      <c r="F49" s="213"/>
      <c r="G49" s="213"/>
      <c r="H49" s="213"/>
      <c r="I49" s="212"/>
      <c r="J49" s="211"/>
      <c r="K49" s="214"/>
    </row>
    <row r="50" spans="1:11" ht="21" customHeight="1" x14ac:dyDescent="0.55000000000000004">
      <c r="A50" s="216"/>
      <c r="B50" s="212"/>
      <c r="C50" s="213"/>
      <c r="D50" s="213"/>
      <c r="E50" s="213"/>
      <c r="F50" s="213"/>
      <c r="G50" s="213"/>
      <c r="H50" s="213"/>
      <c r="I50" s="212"/>
      <c r="J50" s="211"/>
      <c r="K50" s="214"/>
    </row>
    <row r="72" spans="1:6" ht="35.25" customHeight="1" x14ac:dyDescent="0.45">
      <c r="A72" s="258"/>
      <c r="B72" s="258"/>
      <c r="C72" s="258"/>
      <c r="D72" s="258"/>
      <c r="E72" s="258"/>
      <c r="F72" s="138"/>
    </row>
    <row r="73" spans="1:6" x14ac:dyDescent="0.45">
      <c r="A73" s="138"/>
      <c r="B73" s="138"/>
      <c r="C73" s="138"/>
      <c r="D73" s="219"/>
      <c r="E73" s="138"/>
      <c r="F73" s="138"/>
    </row>
    <row r="74" spans="1:6" ht="26.25" customHeight="1" x14ac:dyDescent="0.45">
      <c r="A74" s="206"/>
      <c r="B74" s="145"/>
      <c r="C74" s="145"/>
      <c r="D74" s="145"/>
      <c r="E74" s="145"/>
      <c r="F74" s="145"/>
    </row>
    <row r="75" spans="1:6" ht="26.25" customHeight="1" x14ac:dyDescent="0.45">
      <c r="A75" s="206"/>
      <c r="B75" s="145"/>
      <c r="C75" s="145"/>
      <c r="D75" s="145"/>
      <c r="E75" s="145"/>
      <c r="F75" s="145"/>
    </row>
    <row r="76" spans="1:6" ht="26.25" customHeight="1" x14ac:dyDescent="0.45">
      <c r="A76" s="206"/>
      <c r="B76" s="145"/>
      <c r="C76" s="145"/>
      <c r="D76" s="145"/>
      <c r="E76" s="145"/>
      <c r="F76" s="145"/>
    </row>
    <row r="77" spans="1:6" ht="26.25" customHeight="1" x14ac:dyDescent="0.45">
      <c r="A77" s="206"/>
      <c r="B77" s="145"/>
      <c r="C77" s="145"/>
      <c r="D77" s="145"/>
      <c r="E77" s="145"/>
      <c r="F77" s="145"/>
    </row>
    <row r="78" spans="1:6" ht="26.25" customHeight="1" x14ac:dyDescent="0.45">
      <c r="A78" s="206"/>
      <c r="B78" s="145"/>
      <c r="C78" s="145"/>
      <c r="D78" s="145"/>
      <c r="E78" s="145"/>
      <c r="F78" s="145"/>
    </row>
    <row r="79" spans="1:6" ht="26.25" customHeight="1" x14ac:dyDescent="0.45">
      <c r="A79" s="206"/>
      <c r="B79" s="145"/>
      <c r="C79" s="145"/>
      <c r="D79" s="145"/>
      <c r="E79" s="145"/>
      <c r="F79" s="145"/>
    </row>
    <row r="100" spans="2:2" x14ac:dyDescent="0.45">
      <c r="B100" s="145"/>
    </row>
    <row r="101" spans="2:2" x14ac:dyDescent="0.45">
      <c r="B101" s="145"/>
    </row>
    <row r="102" spans="2:2" x14ac:dyDescent="0.45">
      <c r="B102" s="145"/>
    </row>
  </sheetData>
  <mergeCells count="3">
    <mergeCell ref="A72:E72"/>
    <mergeCell ref="A2:L2"/>
    <mergeCell ref="A6:I6"/>
  </mergeCells>
  <pageMargins left="0.70866141732283505" right="0.70866141732283505" top="0.74803149606299202" bottom="0.74803149606299202" header="0.31496062992126" footer="0.31496062992126"/>
  <pageSetup paperSize="8" scale="36" orientation="landscape" r:id="rId1"/>
  <rowBreaks count="1" manualBreakCount="1">
    <brk id="5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116"/>
  <sheetViews>
    <sheetView view="pageBreakPreview" zoomScale="55" zoomScaleNormal="70" zoomScaleSheetLayoutView="55" workbookViewId="0">
      <selection activeCell="J1" sqref="J1"/>
    </sheetView>
  </sheetViews>
  <sheetFormatPr defaultColWidth="9.1796875" defaultRowHeight="17.5" x14ac:dyDescent="0.35"/>
  <cols>
    <col min="1" max="1" width="63.81640625" style="29" customWidth="1"/>
    <col min="2" max="2" width="63" style="61" customWidth="1"/>
    <col min="3" max="3" width="21.7265625" style="61" customWidth="1"/>
    <col min="4" max="4" width="24.453125" style="61" customWidth="1"/>
    <col min="5" max="5" width="16.81640625" style="60" customWidth="1"/>
    <col min="6" max="6" width="13.1796875" style="29" customWidth="1"/>
    <col min="7" max="7" width="12.81640625" style="60" customWidth="1"/>
    <col min="8" max="8" width="23.26953125" style="89" bestFit="1" customWidth="1"/>
    <col min="9" max="9" width="39.7265625" style="61" customWidth="1"/>
    <col min="10" max="10" width="97.453125" style="61" customWidth="1"/>
    <col min="11" max="11" width="25" style="29" customWidth="1"/>
    <col min="12" max="20" width="9.1796875" style="66"/>
    <col min="21" max="16384" width="9.1796875" style="29"/>
  </cols>
  <sheetData>
    <row r="6" spans="1:20" s="27" customFormat="1" ht="18" x14ac:dyDescent="0.35">
      <c r="A6" s="262"/>
      <c r="B6" s="262"/>
      <c r="C6" s="262"/>
      <c r="D6" s="262"/>
      <c r="E6" s="262"/>
      <c r="F6" s="262"/>
      <c r="G6" s="262"/>
      <c r="H6" s="262"/>
      <c r="I6" s="26"/>
      <c r="J6" s="26"/>
      <c r="L6" s="65"/>
      <c r="M6" s="65"/>
      <c r="N6" s="65"/>
      <c r="O6" s="65"/>
      <c r="P6" s="65"/>
      <c r="Q6" s="65"/>
      <c r="R6" s="65"/>
      <c r="S6" s="65"/>
      <c r="T6" s="65"/>
    </row>
    <row r="7" spans="1:20" s="27" customFormat="1" ht="18" x14ac:dyDescent="0.35">
      <c r="A7" s="262"/>
      <c r="B7" s="262"/>
      <c r="C7" s="262"/>
      <c r="D7" s="262"/>
      <c r="E7" s="262"/>
      <c r="F7" s="262"/>
      <c r="G7" s="262"/>
      <c r="H7" s="262"/>
      <c r="I7" s="262"/>
      <c r="J7" s="262"/>
      <c r="K7" s="262"/>
      <c r="L7" s="65"/>
      <c r="M7" s="65"/>
      <c r="N7" s="65"/>
      <c r="O7" s="65"/>
      <c r="P7" s="65"/>
      <c r="Q7" s="65"/>
      <c r="R7" s="65"/>
      <c r="S7" s="65"/>
      <c r="T7" s="65"/>
    </row>
    <row r="8" spans="1:20" ht="32.25" customHeight="1" x14ac:dyDescent="0.35">
      <c r="A8" s="263" t="s">
        <v>663</v>
      </c>
      <c r="B8" s="263"/>
      <c r="C8" s="263"/>
      <c r="D8" s="263"/>
      <c r="E8" s="263"/>
      <c r="F8" s="263"/>
      <c r="G8" s="263"/>
      <c r="H8" s="263"/>
      <c r="I8" s="263"/>
      <c r="J8" s="263"/>
      <c r="K8" s="263"/>
    </row>
    <row r="9" spans="1:20" ht="29.15" customHeight="1" x14ac:dyDescent="0.35">
      <c r="A9" s="263"/>
      <c r="B9" s="263"/>
      <c r="C9" s="263"/>
      <c r="D9" s="263"/>
      <c r="E9" s="263"/>
      <c r="F9" s="263"/>
      <c r="G9" s="263"/>
      <c r="H9" s="263"/>
      <c r="I9" s="263"/>
      <c r="J9" s="263"/>
      <c r="K9" s="263"/>
    </row>
    <row r="10" spans="1:20" ht="29.15" customHeight="1" x14ac:dyDescent="0.35">
      <c r="A10" s="264"/>
      <c r="B10" s="264"/>
      <c r="C10" s="264"/>
      <c r="D10" s="264"/>
      <c r="E10" s="264"/>
      <c r="F10" s="264"/>
      <c r="G10" s="264"/>
      <c r="H10" s="264"/>
      <c r="I10" s="264"/>
      <c r="J10" s="264"/>
      <c r="K10" s="264"/>
    </row>
    <row r="11" spans="1:20" ht="29.15" customHeight="1" x14ac:dyDescent="0.35">
      <c r="A11" s="264" t="s">
        <v>16</v>
      </c>
      <c r="B11" s="264"/>
      <c r="C11" s="264"/>
      <c r="D11" s="264"/>
      <c r="E11" s="264"/>
      <c r="F11" s="264"/>
      <c r="G11" s="264"/>
      <c r="H11" s="264"/>
      <c r="I11" s="264"/>
      <c r="J11" s="264"/>
      <c r="K11" s="264"/>
    </row>
    <row r="12" spans="1:20" ht="29.15" customHeight="1" x14ac:dyDescent="0.35">
      <c r="A12" s="264"/>
      <c r="B12" s="264"/>
      <c r="C12" s="264"/>
      <c r="D12" s="264"/>
      <c r="E12" s="264"/>
      <c r="F12" s="264"/>
      <c r="G12" s="264"/>
      <c r="H12" s="264"/>
      <c r="I12" s="264"/>
      <c r="J12" s="264"/>
      <c r="K12" s="264"/>
    </row>
    <row r="13" spans="1:20" ht="29.15" customHeight="1" x14ac:dyDescent="0.35">
      <c r="A13" s="265"/>
      <c r="B13" s="265"/>
      <c r="C13" s="265"/>
      <c r="D13" s="265"/>
      <c r="E13" s="265"/>
      <c r="F13" s="265"/>
      <c r="G13" s="265"/>
      <c r="H13" s="265"/>
      <c r="I13" s="265"/>
      <c r="J13" s="265"/>
      <c r="K13" s="265"/>
    </row>
    <row r="14" spans="1:20" ht="60.75" customHeight="1" x14ac:dyDescent="0.35">
      <c r="A14" s="146" t="s">
        <v>0</v>
      </c>
      <c r="B14" s="146" t="s">
        <v>1</v>
      </c>
      <c r="C14" s="147" t="s">
        <v>12</v>
      </c>
      <c r="D14" s="147" t="s">
        <v>13</v>
      </c>
      <c r="E14" s="146" t="s">
        <v>2</v>
      </c>
      <c r="F14" s="148" t="s">
        <v>3</v>
      </c>
      <c r="G14" s="146" t="s">
        <v>4</v>
      </c>
      <c r="H14" s="149" t="s">
        <v>5</v>
      </c>
      <c r="I14" s="150" t="s">
        <v>14</v>
      </c>
      <c r="J14" s="150" t="s">
        <v>10</v>
      </c>
      <c r="K14" s="150" t="s">
        <v>9</v>
      </c>
    </row>
    <row r="15" spans="1:20" ht="61.5" customHeight="1" x14ac:dyDescent="0.35">
      <c r="A15" s="31" t="s">
        <v>88</v>
      </c>
      <c r="B15" s="2" t="s">
        <v>108</v>
      </c>
      <c r="C15" s="32" t="s">
        <v>55</v>
      </c>
      <c r="D15" s="33" t="s">
        <v>56</v>
      </c>
      <c r="E15" s="34" t="s">
        <v>57</v>
      </c>
      <c r="F15" s="181"/>
      <c r="G15" s="181"/>
      <c r="H15" s="67">
        <v>764746.2</v>
      </c>
      <c r="I15" s="7" t="s">
        <v>110</v>
      </c>
      <c r="J15" s="2" t="s">
        <v>108</v>
      </c>
      <c r="K15" s="19" t="s">
        <v>111</v>
      </c>
    </row>
    <row r="16" spans="1:20" ht="61.5" customHeight="1" x14ac:dyDescent="0.35">
      <c r="A16" s="31" t="s">
        <v>89</v>
      </c>
      <c r="B16" s="7" t="s">
        <v>112</v>
      </c>
      <c r="C16" s="32" t="s">
        <v>55</v>
      </c>
      <c r="D16" s="33" t="s">
        <v>56</v>
      </c>
      <c r="E16" s="34" t="s">
        <v>57</v>
      </c>
      <c r="F16" s="181"/>
      <c r="G16" s="181"/>
      <c r="H16" s="67">
        <v>399164.63</v>
      </c>
      <c r="I16" s="7" t="s">
        <v>113</v>
      </c>
      <c r="J16" s="7" t="s">
        <v>114</v>
      </c>
      <c r="K16" s="22" t="s">
        <v>115</v>
      </c>
    </row>
    <row r="17" spans="1:11" ht="61.5" customHeight="1" x14ac:dyDescent="0.35">
      <c r="A17" s="31" t="s">
        <v>90</v>
      </c>
      <c r="B17" s="2" t="s">
        <v>116</v>
      </c>
      <c r="C17" s="32" t="s">
        <v>55</v>
      </c>
      <c r="D17" s="33" t="s">
        <v>56</v>
      </c>
      <c r="E17" s="34" t="s">
        <v>57</v>
      </c>
      <c r="F17" s="181"/>
      <c r="G17" s="181"/>
      <c r="H17" s="67">
        <f>7059*2+9412</f>
        <v>23530</v>
      </c>
      <c r="I17" s="7" t="s">
        <v>117</v>
      </c>
      <c r="J17" s="7" t="s">
        <v>118</v>
      </c>
      <c r="K17" s="19" t="s">
        <v>111</v>
      </c>
    </row>
    <row r="18" spans="1:11" ht="61.5" customHeight="1" x14ac:dyDescent="0.35">
      <c r="A18" s="31" t="s">
        <v>91</v>
      </c>
      <c r="B18" s="2" t="s">
        <v>116</v>
      </c>
      <c r="C18" s="32" t="s">
        <v>55</v>
      </c>
      <c r="D18" s="33" t="s">
        <v>56</v>
      </c>
      <c r="E18" s="34" t="s">
        <v>57</v>
      </c>
      <c r="F18" s="181"/>
      <c r="G18" s="181"/>
      <c r="H18" s="67">
        <f>7059*3</f>
        <v>21177</v>
      </c>
      <c r="I18" s="7" t="s">
        <v>117</v>
      </c>
      <c r="J18" s="7" t="s">
        <v>118</v>
      </c>
      <c r="K18" s="19" t="s">
        <v>111</v>
      </c>
    </row>
    <row r="19" spans="1:11" ht="61.5" customHeight="1" x14ac:dyDescent="0.35">
      <c r="A19" s="31" t="s">
        <v>145</v>
      </c>
      <c r="B19" s="2" t="s">
        <v>116</v>
      </c>
      <c r="C19" s="32" t="s">
        <v>55</v>
      </c>
      <c r="D19" s="33" t="s">
        <v>56</v>
      </c>
      <c r="E19" s="34"/>
      <c r="F19" s="181"/>
      <c r="G19" s="181"/>
      <c r="H19" s="67">
        <f>7059*3</f>
        <v>21177</v>
      </c>
      <c r="I19" s="7" t="s">
        <v>117</v>
      </c>
      <c r="J19" s="7" t="s">
        <v>118</v>
      </c>
      <c r="K19" s="19" t="s">
        <v>111</v>
      </c>
    </row>
    <row r="20" spans="1:11" ht="61.5" customHeight="1" x14ac:dyDescent="0.35">
      <c r="A20" s="31" t="s">
        <v>146</v>
      </c>
      <c r="B20" s="2" t="s">
        <v>116</v>
      </c>
      <c r="C20" s="32" t="s">
        <v>55</v>
      </c>
      <c r="D20" s="33" t="s">
        <v>56</v>
      </c>
      <c r="E20" s="34"/>
      <c r="F20" s="181"/>
      <c r="G20" s="181"/>
      <c r="H20" s="67">
        <f>11637+11637+19395*2</f>
        <v>62064</v>
      </c>
      <c r="I20" s="7" t="s">
        <v>117</v>
      </c>
      <c r="J20" s="7" t="s">
        <v>118</v>
      </c>
      <c r="K20" s="19" t="s">
        <v>111</v>
      </c>
    </row>
    <row r="21" spans="1:11" ht="61.5" customHeight="1" x14ac:dyDescent="0.35">
      <c r="A21" s="31" t="s">
        <v>94</v>
      </c>
      <c r="B21" s="7" t="s">
        <v>119</v>
      </c>
      <c r="C21" s="32" t="s">
        <v>55</v>
      </c>
      <c r="D21" s="33" t="s">
        <v>56</v>
      </c>
      <c r="E21" s="34" t="s">
        <v>57</v>
      </c>
      <c r="F21" s="181"/>
      <c r="G21" s="181"/>
      <c r="H21" s="67">
        <v>335393.05</v>
      </c>
      <c r="I21" s="7" t="s">
        <v>113</v>
      </c>
      <c r="J21" s="7" t="s">
        <v>120</v>
      </c>
      <c r="K21" s="22" t="s">
        <v>121</v>
      </c>
    </row>
    <row r="22" spans="1:11" ht="61.5" customHeight="1" x14ac:dyDescent="0.35">
      <c r="A22" s="31" t="s">
        <v>95</v>
      </c>
      <c r="B22" s="7" t="s">
        <v>201</v>
      </c>
      <c r="C22" s="32" t="s">
        <v>55</v>
      </c>
      <c r="D22" s="33" t="s">
        <v>56</v>
      </c>
      <c r="E22" s="34" t="s">
        <v>57</v>
      </c>
      <c r="F22" s="181"/>
      <c r="G22" s="181"/>
      <c r="H22" s="67">
        <v>727320</v>
      </c>
      <c r="I22" s="7" t="s">
        <v>113</v>
      </c>
      <c r="J22" s="7" t="s">
        <v>718</v>
      </c>
      <c r="K22" s="22" t="s">
        <v>202</v>
      </c>
    </row>
    <row r="23" spans="1:11" ht="61.5" customHeight="1" x14ac:dyDescent="0.35">
      <c r="A23" s="31" t="s">
        <v>147</v>
      </c>
      <c r="B23" s="2" t="s">
        <v>185</v>
      </c>
      <c r="C23" s="32" t="s">
        <v>55</v>
      </c>
      <c r="D23" s="33" t="s">
        <v>56</v>
      </c>
      <c r="E23" s="34" t="s">
        <v>57</v>
      </c>
      <c r="F23" s="181"/>
      <c r="G23" s="181"/>
      <c r="H23" s="67">
        <f>5196555.56+899232+74100</f>
        <v>6169887.5599999996</v>
      </c>
      <c r="I23" s="7" t="s">
        <v>113</v>
      </c>
      <c r="J23" s="2" t="s">
        <v>719</v>
      </c>
      <c r="K23" s="19" t="s">
        <v>184</v>
      </c>
    </row>
    <row r="24" spans="1:11" ht="61.5" customHeight="1" x14ac:dyDescent="0.35">
      <c r="A24" s="31" t="s">
        <v>148</v>
      </c>
      <c r="B24" s="2" t="s">
        <v>140</v>
      </c>
      <c r="C24" s="32" t="s">
        <v>181</v>
      </c>
      <c r="D24" s="33" t="s">
        <v>182</v>
      </c>
      <c r="E24" s="34" t="s">
        <v>183</v>
      </c>
      <c r="F24" s="181"/>
      <c r="G24" s="181"/>
      <c r="H24" s="67">
        <v>1754626</v>
      </c>
      <c r="I24" s="7" t="s">
        <v>113</v>
      </c>
      <c r="J24" s="2" t="s">
        <v>720</v>
      </c>
      <c r="K24" s="19" t="s">
        <v>184</v>
      </c>
    </row>
    <row r="25" spans="1:11" ht="61.5" customHeight="1" x14ac:dyDescent="0.35">
      <c r="A25" s="31" t="s">
        <v>215</v>
      </c>
      <c r="B25" s="2" t="s">
        <v>167</v>
      </c>
      <c r="C25" s="32" t="s">
        <v>55</v>
      </c>
      <c r="D25" s="33" t="s">
        <v>56</v>
      </c>
      <c r="E25" s="34" t="s">
        <v>57</v>
      </c>
      <c r="F25" s="181"/>
      <c r="G25" s="181"/>
      <c r="H25" s="67">
        <v>32813.019999999997</v>
      </c>
      <c r="I25" s="7" t="s">
        <v>113</v>
      </c>
      <c r="J25" s="2" t="s">
        <v>721</v>
      </c>
      <c r="K25" s="19" t="s">
        <v>230</v>
      </c>
    </row>
    <row r="26" spans="1:11" ht="61.5" customHeight="1" x14ac:dyDescent="0.35">
      <c r="A26" s="31" t="s">
        <v>216</v>
      </c>
      <c r="B26" s="2" t="s">
        <v>240</v>
      </c>
      <c r="C26" s="32" t="s">
        <v>55</v>
      </c>
      <c r="D26" s="33" t="s">
        <v>241</v>
      </c>
      <c r="E26" s="34" t="s">
        <v>242</v>
      </c>
      <c r="F26" s="181"/>
      <c r="G26" s="181"/>
      <c r="H26" s="67">
        <f>51345*2+141199.01+18955.35+123245.99+5134.5+10269+51345*2+102690*2+77017.52+33702.22</f>
        <v>820283.59</v>
      </c>
      <c r="I26" s="7" t="s">
        <v>113</v>
      </c>
      <c r="J26" s="2" t="s">
        <v>722</v>
      </c>
      <c r="K26" s="19" t="s">
        <v>243</v>
      </c>
    </row>
    <row r="27" spans="1:11" ht="61.5" customHeight="1" x14ac:dyDescent="0.35">
      <c r="A27" s="31" t="s">
        <v>263</v>
      </c>
      <c r="B27" s="2" t="s">
        <v>248</v>
      </c>
      <c r="C27" s="32" t="s">
        <v>55</v>
      </c>
      <c r="D27" s="33" t="s">
        <v>56</v>
      </c>
      <c r="E27" s="34" t="s">
        <v>57</v>
      </c>
      <c r="F27" s="181"/>
      <c r="G27" s="181"/>
      <c r="H27" s="67">
        <f>662823.9+353773.2*2+96448.45+73301.54</f>
        <v>1540120.29</v>
      </c>
      <c r="I27" s="7" t="s">
        <v>113</v>
      </c>
      <c r="J27" s="2" t="s">
        <v>723</v>
      </c>
      <c r="K27" s="19" t="s">
        <v>184</v>
      </c>
    </row>
    <row r="28" spans="1:11" ht="61.5" customHeight="1" x14ac:dyDescent="0.35">
      <c r="A28" s="31" t="s">
        <v>260</v>
      </c>
      <c r="B28" s="2" t="s">
        <v>279</v>
      </c>
      <c r="C28" s="32" t="s">
        <v>123</v>
      </c>
      <c r="D28" s="33"/>
      <c r="E28" s="34"/>
      <c r="F28" s="181"/>
      <c r="G28" s="181"/>
      <c r="H28" s="67">
        <v>11340</v>
      </c>
      <c r="I28" s="7" t="s">
        <v>113</v>
      </c>
      <c r="J28" s="2" t="s">
        <v>280</v>
      </c>
      <c r="K28" s="19" t="s">
        <v>281</v>
      </c>
    </row>
    <row r="29" spans="1:11" ht="61.5" customHeight="1" x14ac:dyDescent="0.35">
      <c r="A29" s="31" t="s">
        <v>261</v>
      </c>
      <c r="B29" s="2" t="s">
        <v>454</v>
      </c>
      <c r="C29" s="32" t="s">
        <v>55</v>
      </c>
      <c r="D29" s="33" t="s">
        <v>56</v>
      </c>
      <c r="E29" s="34" t="s">
        <v>57</v>
      </c>
      <c r="F29" s="181"/>
      <c r="G29" s="181"/>
      <c r="H29" s="67">
        <v>33316</v>
      </c>
      <c r="I29" s="7" t="s">
        <v>455</v>
      </c>
      <c r="J29" s="2" t="s">
        <v>454</v>
      </c>
      <c r="K29" s="19" t="s">
        <v>456</v>
      </c>
    </row>
    <row r="30" spans="1:11" ht="61.5" customHeight="1" x14ac:dyDescent="0.35">
      <c r="A30" s="31" t="s">
        <v>262</v>
      </c>
      <c r="B30" s="2" t="s">
        <v>296</v>
      </c>
      <c r="C30" s="32" t="s">
        <v>55</v>
      </c>
      <c r="D30" s="33" t="s">
        <v>56</v>
      </c>
      <c r="E30" s="34" t="s">
        <v>57</v>
      </c>
      <c r="F30" s="181"/>
      <c r="G30" s="181"/>
      <c r="H30" s="67">
        <v>101469.93</v>
      </c>
      <c r="I30" s="7" t="s">
        <v>113</v>
      </c>
      <c r="J30" s="2" t="s">
        <v>297</v>
      </c>
      <c r="K30" s="19" t="s">
        <v>298</v>
      </c>
    </row>
    <row r="31" spans="1:11" ht="61.5" customHeight="1" x14ac:dyDescent="0.35">
      <c r="A31" s="31" t="s">
        <v>320</v>
      </c>
      <c r="B31" s="2" t="s">
        <v>335</v>
      </c>
      <c r="C31" s="32" t="s">
        <v>55</v>
      </c>
      <c r="D31" s="33" t="s">
        <v>56</v>
      </c>
      <c r="E31" s="34" t="s">
        <v>57</v>
      </c>
      <c r="F31" s="181"/>
      <c r="G31" s="181"/>
      <c r="H31" s="67">
        <v>629492.51</v>
      </c>
      <c r="I31" s="7" t="s">
        <v>113</v>
      </c>
      <c r="J31" s="2" t="s">
        <v>724</v>
      </c>
      <c r="K31" s="19" t="s">
        <v>336</v>
      </c>
    </row>
    <row r="32" spans="1:11" ht="61.5" customHeight="1" x14ac:dyDescent="0.35">
      <c r="A32" s="31" t="s">
        <v>358</v>
      </c>
      <c r="B32" s="2" t="s">
        <v>393</v>
      </c>
      <c r="C32" s="32" t="s">
        <v>123</v>
      </c>
      <c r="D32" s="33"/>
      <c r="E32" s="34"/>
      <c r="F32" s="181"/>
      <c r="G32" s="181"/>
      <c r="H32" s="67">
        <f>2963.37+1778</f>
        <v>4741.37</v>
      </c>
      <c r="I32" s="7" t="s">
        <v>113</v>
      </c>
      <c r="J32" s="2" t="s">
        <v>394</v>
      </c>
      <c r="K32" s="19" t="s">
        <v>395</v>
      </c>
    </row>
    <row r="33" spans="1:20" ht="61.5" customHeight="1" x14ac:dyDescent="0.35">
      <c r="A33" s="31" t="s">
        <v>359</v>
      </c>
      <c r="B33" s="2" t="s">
        <v>409</v>
      </c>
      <c r="C33" s="32" t="s">
        <v>410</v>
      </c>
      <c r="D33" s="33" t="s">
        <v>411</v>
      </c>
      <c r="E33" s="34" t="s">
        <v>57</v>
      </c>
      <c r="F33" s="181"/>
      <c r="G33" s="181"/>
      <c r="H33" s="67">
        <v>15180000</v>
      </c>
      <c r="I33" s="7" t="s">
        <v>113</v>
      </c>
      <c r="J33" s="2" t="s">
        <v>725</v>
      </c>
      <c r="K33" s="19" t="s">
        <v>412</v>
      </c>
    </row>
    <row r="34" spans="1:20" ht="61.5" customHeight="1" x14ac:dyDescent="0.35">
      <c r="A34" s="31" t="s">
        <v>360</v>
      </c>
      <c r="B34" s="2" t="s">
        <v>403</v>
      </c>
      <c r="C34" s="32" t="s">
        <v>236</v>
      </c>
      <c r="D34" s="33" t="s">
        <v>404</v>
      </c>
      <c r="E34" s="34" t="s">
        <v>183</v>
      </c>
      <c r="F34" s="181"/>
      <c r="G34" s="181"/>
      <c r="H34" s="67">
        <f>1357968+2805558.47+1018476-2805558.47+1018476</f>
        <v>3394920.0000000005</v>
      </c>
      <c r="I34" s="7" t="s">
        <v>113</v>
      </c>
      <c r="J34" s="2" t="s">
        <v>726</v>
      </c>
      <c r="K34" s="19" t="s">
        <v>284</v>
      </c>
    </row>
    <row r="35" spans="1:20" ht="61.5" customHeight="1" x14ac:dyDescent="0.35">
      <c r="A35" s="31" t="s">
        <v>422</v>
      </c>
      <c r="B35" s="2" t="s">
        <v>442</v>
      </c>
      <c r="C35" s="32" t="s">
        <v>443</v>
      </c>
      <c r="D35" s="33" t="s">
        <v>444</v>
      </c>
      <c r="E35" s="34" t="s">
        <v>399</v>
      </c>
      <c r="F35" s="181"/>
      <c r="G35" s="181"/>
      <c r="H35" s="67">
        <v>16302</v>
      </c>
      <c r="I35" s="7" t="s">
        <v>113</v>
      </c>
      <c r="J35" s="2" t="s">
        <v>445</v>
      </c>
      <c r="K35" s="19" t="s">
        <v>121</v>
      </c>
    </row>
    <row r="36" spans="1:20" ht="61.5" customHeight="1" x14ac:dyDescent="0.35">
      <c r="A36" s="31" t="s">
        <v>423</v>
      </c>
      <c r="B36" s="2" t="s">
        <v>457</v>
      </c>
      <c r="C36" s="32" t="s">
        <v>55</v>
      </c>
      <c r="D36" s="33" t="s">
        <v>56</v>
      </c>
      <c r="E36" s="34" t="s">
        <v>57</v>
      </c>
      <c r="F36" s="181"/>
      <c r="G36" s="181"/>
      <c r="H36" s="67">
        <v>976000.01</v>
      </c>
      <c r="I36" s="7" t="s">
        <v>113</v>
      </c>
      <c r="J36" s="2" t="s">
        <v>457</v>
      </c>
      <c r="K36" s="19" t="s">
        <v>336</v>
      </c>
    </row>
    <row r="37" spans="1:20" ht="61.5" customHeight="1" x14ac:dyDescent="0.35">
      <c r="A37" s="31" t="s">
        <v>217</v>
      </c>
      <c r="B37" s="2" t="s">
        <v>468</v>
      </c>
      <c r="C37" s="32" t="s">
        <v>469</v>
      </c>
      <c r="D37" s="33" t="s">
        <v>470</v>
      </c>
      <c r="E37" s="34" t="s">
        <v>57</v>
      </c>
      <c r="F37" s="181"/>
      <c r="G37" s="181"/>
      <c r="H37" s="67">
        <v>611228</v>
      </c>
      <c r="I37" s="7" t="s">
        <v>113</v>
      </c>
      <c r="J37" s="2" t="s">
        <v>471</v>
      </c>
      <c r="K37" s="19" t="s">
        <v>184</v>
      </c>
    </row>
    <row r="38" spans="1:20" ht="61.5" customHeight="1" x14ac:dyDescent="0.35">
      <c r="A38" s="31" t="s">
        <v>492</v>
      </c>
      <c r="B38" s="2" t="s">
        <v>517</v>
      </c>
      <c r="C38" s="32" t="s">
        <v>55</v>
      </c>
      <c r="D38" s="33" t="s">
        <v>56</v>
      </c>
      <c r="E38" s="34" t="s">
        <v>57</v>
      </c>
      <c r="F38" s="181"/>
      <c r="G38" s="181"/>
      <c r="H38" s="67">
        <f>215410.6+200721.32+921.88+276499.4</f>
        <v>693553.20000000007</v>
      </c>
      <c r="I38" s="7" t="s">
        <v>113</v>
      </c>
      <c r="J38" s="2" t="s">
        <v>518</v>
      </c>
      <c r="K38" s="19" t="s">
        <v>519</v>
      </c>
    </row>
    <row r="39" spans="1:20" ht="61.5" customHeight="1" x14ac:dyDescent="0.35">
      <c r="A39" s="31" t="s">
        <v>558</v>
      </c>
      <c r="B39" s="2" t="s">
        <v>575</v>
      </c>
      <c r="C39" s="32" t="s">
        <v>576</v>
      </c>
      <c r="D39" s="33" t="s">
        <v>577</v>
      </c>
      <c r="E39" s="34" t="s">
        <v>57</v>
      </c>
      <c r="F39" s="181"/>
      <c r="G39" s="181"/>
      <c r="H39" s="67">
        <v>37703.35</v>
      </c>
      <c r="I39" s="7" t="s">
        <v>113</v>
      </c>
      <c r="J39" s="2" t="s">
        <v>575</v>
      </c>
      <c r="K39" s="19" t="s">
        <v>383</v>
      </c>
    </row>
    <row r="40" spans="1:20" s="39" customFormat="1" ht="61.5" customHeight="1" x14ac:dyDescent="0.35">
      <c r="A40" s="37" t="s">
        <v>6</v>
      </c>
      <c r="B40" s="2"/>
      <c r="C40" s="2"/>
      <c r="D40" s="2"/>
      <c r="E40" s="9"/>
      <c r="F40" s="1"/>
      <c r="G40" s="9"/>
      <c r="H40" s="76">
        <f>SUM(H15:H39)</f>
        <v>34362368.710000001</v>
      </c>
      <c r="I40" s="11"/>
      <c r="J40" s="11"/>
      <c r="K40" s="11"/>
      <c r="L40" s="23"/>
      <c r="M40" s="23"/>
      <c r="N40" s="23"/>
      <c r="O40" s="23"/>
      <c r="P40" s="23"/>
      <c r="Q40" s="23"/>
      <c r="R40" s="23"/>
      <c r="S40" s="23"/>
      <c r="T40" s="23"/>
    </row>
    <row r="41" spans="1:20" s="39" customFormat="1" ht="52.5" customHeight="1" x14ac:dyDescent="0.35">
      <c r="A41" s="271"/>
      <c r="B41" s="271"/>
      <c r="C41" s="271"/>
      <c r="D41" s="271"/>
      <c r="E41" s="271"/>
      <c r="F41" s="271"/>
      <c r="G41" s="271"/>
      <c r="H41" s="271"/>
      <c r="I41" s="271"/>
      <c r="J41" s="271"/>
      <c r="K41" s="271"/>
      <c r="L41" s="23"/>
      <c r="M41" s="23"/>
      <c r="N41" s="23"/>
      <c r="O41" s="23"/>
      <c r="P41" s="23"/>
      <c r="Q41" s="23"/>
      <c r="R41" s="23"/>
      <c r="S41" s="23"/>
      <c r="T41" s="23"/>
    </row>
    <row r="42" spans="1:20" s="39" customFormat="1" ht="46.5" customHeight="1" x14ac:dyDescent="0.35">
      <c r="A42" s="270" t="s">
        <v>26</v>
      </c>
      <c r="B42" s="270"/>
      <c r="C42" s="270"/>
      <c r="D42" s="270"/>
      <c r="E42" s="270"/>
      <c r="F42" s="270"/>
      <c r="G42" s="270"/>
      <c r="H42" s="270"/>
      <c r="I42" s="270"/>
      <c r="J42" s="270"/>
      <c r="K42" s="270"/>
      <c r="L42" s="23"/>
      <c r="M42" s="23"/>
      <c r="N42" s="23"/>
      <c r="O42" s="23"/>
      <c r="P42" s="23"/>
      <c r="Q42" s="23"/>
      <c r="R42" s="23"/>
      <c r="S42" s="23"/>
      <c r="T42" s="23"/>
    </row>
    <row r="43" spans="1:20" s="39" customFormat="1" ht="61.5" customHeight="1" x14ac:dyDescent="0.35">
      <c r="A43" s="151" t="s">
        <v>0</v>
      </c>
      <c r="B43" s="151" t="s">
        <v>1</v>
      </c>
      <c r="C43" s="150" t="s">
        <v>12</v>
      </c>
      <c r="D43" s="150" t="s">
        <v>13</v>
      </c>
      <c r="E43" s="151" t="s">
        <v>2</v>
      </c>
      <c r="F43" s="152" t="s">
        <v>3</v>
      </c>
      <c r="G43" s="151" t="s">
        <v>4</v>
      </c>
      <c r="H43" s="76" t="s">
        <v>7</v>
      </c>
      <c r="I43" s="150" t="s">
        <v>14</v>
      </c>
      <c r="J43" s="150" t="s">
        <v>10</v>
      </c>
      <c r="K43" s="150" t="s">
        <v>9</v>
      </c>
      <c r="L43" s="23"/>
      <c r="M43" s="23"/>
      <c r="N43" s="23"/>
      <c r="O43" s="23"/>
      <c r="P43" s="23"/>
      <c r="Q43" s="23"/>
      <c r="R43" s="23"/>
      <c r="S43" s="23"/>
      <c r="T43" s="23"/>
    </row>
    <row r="44" spans="1:20" s="39" customFormat="1" ht="61.5" customHeight="1" x14ac:dyDescent="0.35">
      <c r="A44" s="18"/>
      <c r="B44" s="24"/>
      <c r="C44" s="77"/>
      <c r="D44" s="77"/>
      <c r="E44" s="25"/>
      <c r="F44" s="6"/>
      <c r="G44" s="6"/>
      <c r="H44" s="72">
        <v>0</v>
      </c>
      <c r="I44" s="2"/>
      <c r="J44" s="11"/>
      <c r="K44" s="11"/>
      <c r="L44" s="23"/>
      <c r="M44" s="23"/>
      <c r="N44" s="23"/>
      <c r="O44" s="23"/>
      <c r="P44" s="23"/>
      <c r="Q44" s="23"/>
      <c r="R44" s="23"/>
      <c r="S44" s="23"/>
      <c r="T44" s="23"/>
    </row>
    <row r="45" spans="1:20" s="36" customFormat="1" ht="61.5" customHeight="1" x14ac:dyDescent="0.35">
      <c r="A45" s="18"/>
      <c r="B45" s="7"/>
      <c r="C45" s="77"/>
      <c r="D45" s="77"/>
      <c r="E45" s="25"/>
      <c r="F45" s="6"/>
      <c r="G45" s="6"/>
      <c r="H45" s="72">
        <v>0</v>
      </c>
      <c r="I45" s="79"/>
      <c r="J45" s="7"/>
      <c r="K45" s="7"/>
    </row>
    <row r="46" spans="1:20" s="39" customFormat="1" ht="61.5" customHeight="1" x14ac:dyDescent="0.35">
      <c r="A46" s="44"/>
      <c r="B46" s="11"/>
      <c r="C46" s="11"/>
      <c r="D46" s="11"/>
      <c r="E46" s="5"/>
      <c r="F46" s="45"/>
      <c r="G46" s="45"/>
      <c r="H46" s="76">
        <f>SUM(H44:H45)</f>
        <v>0</v>
      </c>
      <c r="I46" s="11"/>
      <c r="J46" s="11"/>
      <c r="K46" s="30"/>
      <c r="L46" s="23"/>
      <c r="M46" s="23"/>
      <c r="N46" s="23"/>
      <c r="O46" s="23"/>
      <c r="P46" s="23"/>
      <c r="Q46" s="23"/>
      <c r="R46" s="23"/>
      <c r="S46" s="23"/>
      <c r="T46" s="23"/>
    </row>
    <row r="47" spans="1:20" s="39" customFormat="1" ht="61.5" customHeight="1" x14ac:dyDescent="0.35">
      <c r="A47" s="272"/>
      <c r="B47" s="272"/>
      <c r="C47" s="272"/>
      <c r="D47" s="272"/>
      <c r="E47" s="272"/>
      <c r="F47" s="272"/>
      <c r="G47" s="272"/>
      <c r="H47" s="272"/>
      <c r="I47" s="272"/>
      <c r="J47" s="272"/>
      <c r="K47" s="272"/>
      <c r="L47" s="23"/>
      <c r="M47" s="23"/>
      <c r="N47" s="23"/>
      <c r="O47" s="23"/>
      <c r="P47" s="23"/>
      <c r="Q47" s="23"/>
      <c r="R47" s="23"/>
      <c r="S47" s="23"/>
      <c r="T47" s="23"/>
    </row>
    <row r="48" spans="1:20" s="39" customFormat="1" ht="39" customHeight="1" x14ac:dyDescent="0.35">
      <c r="A48" s="268" t="s">
        <v>27</v>
      </c>
      <c r="B48" s="268"/>
      <c r="C48" s="268"/>
      <c r="D48" s="268"/>
      <c r="E48" s="268"/>
      <c r="F48" s="268"/>
      <c r="G48" s="268"/>
      <c r="H48" s="268"/>
      <c r="I48" s="268"/>
      <c r="J48" s="268"/>
      <c r="K48" s="268"/>
      <c r="L48" s="23"/>
      <c r="M48" s="23"/>
      <c r="N48" s="23"/>
      <c r="O48" s="23"/>
      <c r="P48" s="23"/>
      <c r="Q48" s="23"/>
      <c r="R48" s="23"/>
      <c r="S48" s="23"/>
      <c r="T48" s="23"/>
    </row>
    <row r="49" spans="1:20" s="39" customFormat="1" ht="61.5" customHeight="1" x14ac:dyDescent="0.35">
      <c r="A49" s="151" t="s">
        <v>0</v>
      </c>
      <c r="B49" s="151" t="s">
        <v>1</v>
      </c>
      <c r="C49" s="150" t="s">
        <v>12</v>
      </c>
      <c r="D49" s="150" t="s">
        <v>13</v>
      </c>
      <c r="E49" s="151" t="s">
        <v>2</v>
      </c>
      <c r="F49" s="152" t="s">
        <v>3</v>
      </c>
      <c r="G49" s="151" t="s">
        <v>4</v>
      </c>
      <c r="H49" s="76" t="s">
        <v>7</v>
      </c>
      <c r="I49" s="150" t="s">
        <v>14</v>
      </c>
      <c r="J49" s="150" t="s">
        <v>10</v>
      </c>
      <c r="K49" s="150" t="s">
        <v>9</v>
      </c>
      <c r="L49" s="23"/>
      <c r="M49" s="23"/>
      <c r="N49" s="23"/>
      <c r="O49" s="23"/>
      <c r="P49" s="23"/>
      <c r="Q49" s="23"/>
      <c r="R49" s="23"/>
      <c r="S49" s="23"/>
      <c r="T49" s="23"/>
    </row>
    <row r="50" spans="1:20" s="39" customFormat="1" ht="61.5" customHeight="1" x14ac:dyDescent="0.35">
      <c r="A50" s="31" t="s">
        <v>488</v>
      </c>
      <c r="B50" s="139" t="s">
        <v>489</v>
      </c>
      <c r="C50" s="81" t="s">
        <v>50</v>
      </c>
      <c r="D50" s="81"/>
      <c r="E50" s="16"/>
      <c r="F50" s="6"/>
      <c r="G50" s="6"/>
      <c r="H50" s="80">
        <v>13960.44</v>
      </c>
      <c r="I50" s="2" t="s">
        <v>193</v>
      </c>
      <c r="J50" s="139" t="s">
        <v>490</v>
      </c>
      <c r="K50" s="2" t="s">
        <v>412</v>
      </c>
      <c r="L50" s="23"/>
      <c r="M50" s="23"/>
      <c r="N50" s="23"/>
      <c r="O50" s="23"/>
      <c r="P50" s="23"/>
      <c r="Q50" s="23"/>
      <c r="R50" s="23"/>
      <c r="S50" s="23"/>
      <c r="T50" s="23"/>
    </row>
    <row r="51" spans="1:20" s="39" customFormat="1" ht="61.5" customHeight="1" x14ac:dyDescent="0.35">
      <c r="A51" s="3" t="s">
        <v>557</v>
      </c>
      <c r="B51" s="139" t="s">
        <v>578</v>
      </c>
      <c r="C51" s="81" t="s">
        <v>50</v>
      </c>
      <c r="D51" s="81"/>
      <c r="E51" s="16"/>
      <c r="F51" s="6"/>
      <c r="G51" s="6"/>
      <c r="H51" s="14">
        <v>11080</v>
      </c>
      <c r="I51" s="2" t="s">
        <v>193</v>
      </c>
      <c r="J51" s="139" t="s">
        <v>727</v>
      </c>
      <c r="K51" s="2"/>
      <c r="L51" s="23"/>
      <c r="M51" s="23"/>
      <c r="N51" s="23"/>
      <c r="O51" s="23"/>
      <c r="P51" s="23"/>
      <c r="Q51" s="23"/>
      <c r="R51" s="23"/>
      <c r="S51" s="23"/>
      <c r="T51" s="23"/>
    </row>
    <row r="52" spans="1:20" s="47" customFormat="1" ht="49.5" customHeight="1" x14ac:dyDescent="0.35">
      <c r="A52" s="46" t="s">
        <v>6</v>
      </c>
      <c r="B52" s="30"/>
      <c r="C52" s="30"/>
      <c r="D52" s="30"/>
      <c r="E52" s="41"/>
      <c r="F52" s="46"/>
      <c r="G52" s="41"/>
      <c r="H52" s="83">
        <f>SUM(H50:H51)</f>
        <v>25040.440000000002</v>
      </c>
      <c r="I52" s="11"/>
      <c r="J52" s="11"/>
      <c r="K52" s="11"/>
      <c r="L52" s="84"/>
      <c r="M52" s="84"/>
      <c r="N52" s="84"/>
      <c r="O52" s="84"/>
      <c r="P52" s="84"/>
      <c r="Q52" s="84"/>
      <c r="R52" s="84"/>
      <c r="S52" s="84"/>
      <c r="T52" s="84"/>
    </row>
    <row r="53" spans="1:20" s="47" customFormat="1" ht="29.15" customHeight="1" x14ac:dyDescent="0.35">
      <c r="A53" s="268"/>
      <c r="B53" s="268"/>
      <c r="C53" s="268"/>
      <c r="D53" s="268"/>
      <c r="E53" s="268"/>
      <c r="F53" s="268"/>
      <c r="G53" s="268"/>
      <c r="H53" s="268"/>
      <c r="I53" s="268"/>
      <c r="J53" s="268"/>
      <c r="K53" s="268"/>
      <c r="L53" s="84"/>
      <c r="M53" s="84"/>
      <c r="N53" s="84"/>
      <c r="O53" s="84"/>
      <c r="P53" s="84"/>
      <c r="Q53" s="84"/>
      <c r="R53" s="84"/>
      <c r="S53" s="84"/>
      <c r="T53" s="84"/>
    </row>
    <row r="54" spans="1:20" s="47" customFormat="1" ht="32.25" customHeight="1" x14ac:dyDescent="0.35">
      <c r="A54" s="262" t="s">
        <v>17</v>
      </c>
      <c r="B54" s="262"/>
      <c r="C54" s="262"/>
      <c r="D54" s="262"/>
      <c r="E54" s="262"/>
      <c r="F54" s="262"/>
      <c r="G54" s="262"/>
      <c r="H54" s="262"/>
      <c r="I54" s="262"/>
      <c r="J54" s="262"/>
      <c r="K54" s="262"/>
      <c r="L54" s="84"/>
      <c r="M54" s="84"/>
      <c r="N54" s="84"/>
      <c r="O54" s="84"/>
      <c r="P54" s="84"/>
      <c r="Q54" s="84"/>
      <c r="R54" s="84"/>
      <c r="S54" s="84"/>
      <c r="T54" s="84"/>
    </row>
    <row r="55" spans="1:20" s="47" customFormat="1" ht="51" customHeight="1" x14ac:dyDescent="0.35">
      <c r="A55" s="151" t="s">
        <v>0</v>
      </c>
      <c r="B55" s="151" t="s">
        <v>1</v>
      </c>
      <c r="C55" s="150" t="s">
        <v>12</v>
      </c>
      <c r="D55" s="150" t="s">
        <v>13</v>
      </c>
      <c r="E55" s="151" t="s">
        <v>2</v>
      </c>
      <c r="F55" s="152" t="s">
        <v>3</v>
      </c>
      <c r="G55" s="151" t="s">
        <v>4</v>
      </c>
      <c r="H55" s="76" t="s">
        <v>7</v>
      </c>
      <c r="I55" s="150" t="s">
        <v>14</v>
      </c>
      <c r="J55" s="150" t="s">
        <v>10</v>
      </c>
      <c r="K55" s="150" t="s">
        <v>9</v>
      </c>
      <c r="L55" s="84"/>
      <c r="M55" s="84"/>
      <c r="N55" s="84"/>
      <c r="O55" s="84"/>
      <c r="P55" s="84"/>
      <c r="Q55" s="84"/>
      <c r="R55" s="84"/>
      <c r="S55" s="84"/>
      <c r="T55" s="84"/>
    </row>
    <row r="56" spans="1:20" s="84" customFormat="1" ht="48.75" customHeight="1" x14ac:dyDescent="0.35">
      <c r="A56" s="31" t="s">
        <v>62</v>
      </c>
      <c r="B56" s="2" t="s">
        <v>693</v>
      </c>
      <c r="C56" s="32" t="s">
        <v>55</v>
      </c>
      <c r="D56" s="33" t="s">
        <v>64</v>
      </c>
      <c r="E56" s="34" t="s">
        <v>57</v>
      </c>
      <c r="F56" s="181"/>
      <c r="G56" s="181"/>
      <c r="H56" s="255">
        <f>108910.81+49932+80000+3750+30096</f>
        <v>272688.81</v>
      </c>
      <c r="I56" s="7" t="s">
        <v>63</v>
      </c>
      <c r="J56" s="2" t="s">
        <v>52</v>
      </c>
      <c r="K56" s="19" t="s">
        <v>65</v>
      </c>
    </row>
    <row r="57" spans="1:20" s="84" customFormat="1" ht="44.25" customHeight="1" x14ac:dyDescent="0.35">
      <c r="A57" s="2" t="s">
        <v>319</v>
      </c>
      <c r="B57" s="2" t="s">
        <v>332</v>
      </c>
      <c r="C57" s="32" t="s">
        <v>55</v>
      </c>
      <c r="D57" s="33" t="s">
        <v>64</v>
      </c>
      <c r="E57" s="34" t="s">
        <v>57</v>
      </c>
      <c r="F57" s="10"/>
      <c r="G57" s="10"/>
      <c r="H57" s="12">
        <f>356871.3+39985.5</f>
        <v>396856.8</v>
      </c>
      <c r="I57" s="2" t="s">
        <v>63</v>
      </c>
      <c r="J57" s="2" t="s">
        <v>333</v>
      </c>
      <c r="K57" s="2" t="s">
        <v>126</v>
      </c>
    </row>
    <row r="58" spans="1:20" s="84" customFormat="1" ht="44.25" customHeight="1" x14ac:dyDescent="0.35">
      <c r="A58" s="2" t="s">
        <v>491</v>
      </c>
      <c r="B58" s="2" t="s">
        <v>531</v>
      </c>
      <c r="C58" s="32" t="s">
        <v>55</v>
      </c>
      <c r="D58" s="33" t="s">
        <v>64</v>
      </c>
      <c r="E58" s="34" t="s">
        <v>57</v>
      </c>
      <c r="F58" s="10"/>
      <c r="G58" s="10"/>
      <c r="H58" s="12">
        <v>194097.28</v>
      </c>
      <c r="I58" s="2" t="s">
        <v>63</v>
      </c>
      <c r="J58" s="2" t="s">
        <v>532</v>
      </c>
      <c r="K58" s="2" t="s">
        <v>126</v>
      </c>
    </row>
    <row r="59" spans="1:20" s="39" customFormat="1" ht="46.5" customHeight="1" x14ac:dyDescent="0.35">
      <c r="A59" s="46" t="s">
        <v>6</v>
      </c>
      <c r="B59" s="11"/>
      <c r="C59" s="11"/>
      <c r="D59" s="11"/>
      <c r="E59" s="5"/>
      <c r="F59" s="19"/>
      <c r="G59" s="5"/>
      <c r="H59" s="76">
        <f>SUM(H56:H58)</f>
        <v>863642.89</v>
      </c>
      <c r="I59" s="11"/>
      <c r="J59" s="11"/>
      <c r="K59" s="11"/>
      <c r="L59" s="23"/>
      <c r="M59" s="23"/>
      <c r="N59" s="23"/>
      <c r="O59" s="23"/>
      <c r="P59" s="23"/>
      <c r="Q59" s="23"/>
      <c r="R59" s="23"/>
      <c r="S59" s="23"/>
      <c r="T59" s="23"/>
    </row>
    <row r="60" spans="1:20" s="39" customFormat="1" ht="29.15" customHeight="1" x14ac:dyDescent="0.35">
      <c r="A60" s="47"/>
      <c r="B60" s="40"/>
      <c r="C60" s="40"/>
      <c r="D60" s="40"/>
      <c r="E60" s="50"/>
      <c r="F60" s="51"/>
      <c r="G60" s="50"/>
      <c r="H60" s="52"/>
      <c r="I60" s="40"/>
      <c r="J60" s="40"/>
      <c r="K60" s="40"/>
      <c r="L60" s="23"/>
      <c r="M60" s="23"/>
      <c r="N60" s="23"/>
      <c r="O60" s="23"/>
      <c r="P60" s="23"/>
      <c r="Q60" s="23"/>
      <c r="R60" s="23"/>
      <c r="S60" s="23"/>
      <c r="T60" s="23"/>
    </row>
    <row r="61" spans="1:20" s="39" customFormat="1" ht="48.75" customHeight="1" x14ac:dyDescent="0.35">
      <c r="A61" s="268"/>
      <c r="B61" s="268"/>
      <c r="C61" s="268"/>
      <c r="D61" s="268"/>
      <c r="E61" s="268"/>
      <c r="F61" s="268"/>
      <c r="G61" s="268"/>
      <c r="H61" s="268"/>
      <c r="I61" s="268"/>
      <c r="J61" s="268"/>
      <c r="K61" s="268"/>
      <c r="L61" s="23"/>
      <c r="M61" s="23"/>
      <c r="N61" s="23"/>
      <c r="O61" s="23"/>
      <c r="P61" s="23"/>
      <c r="Q61" s="23"/>
      <c r="R61" s="23"/>
      <c r="S61" s="23"/>
      <c r="T61" s="23"/>
    </row>
    <row r="62" spans="1:20" s="53" customFormat="1" ht="49.5" customHeight="1" x14ac:dyDescent="0.35">
      <c r="A62" s="264" t="s">
        <v>18</v>
      </c>
      <c r="B62" s="264"/>
      <c r="C62" s="264"/>
      <c r="D62" s="264"/>
      <c r="E62" s="264"/>
      <c r="F62" s="264"/>
      <c r="G62" s="264"/>
      <c r="H62" s="264"/>
      <c r="I62" s="264"/>
      <c r="J62" s="264"/>
      <c r="K62" s="264"/>
      <c r="L62" s="85"/>
      <c r="M62" s="85"/>
      <c r="N62" s="85"/>
      <c r="O62" s="85"/>
      <c r="P62" s="85"/>
      <c r="Q62" s="85"/>
      <c r="R62" s="85"/>
      <c r="S62" s="85"/>
      <c r="T62" s="85"/>
    </row>
    <row r="63" spans="1:20" s="39" customFormat="1" ht="52.5" customHeight="1" x14ac:dyDescent="0.35">
      <c r="A63" s="151" t="s">
        <v>0</v>
      </c>
      <c r="B63" s="151" t="s">
        <v>1</v>
      </c>
      <c r="C63" s="150" t="s">
        <v>12</v>
      </c>
      <c r="D63" s="150" t="s">
        <v>13</v>
      </c>
      <c r="E63" s="151" t="s">
        <v>2</v>
      </c>
      <c r="F63" s="152" t="s">
        <v>3</v>
      </c>
      <c r="G63" s="151" t="s">
        <v>4</v>
      </c>
      <c r="H63" s="76" t="s">
        <v>7</v>
      </c>
      <c r="I63" s="150" t="s">
        <v>14</v>
      </c>
      <c r="J63" s="150" t="s">
        <v>10</v>
      </c>
      <c r="K63" s="150" t="s">
        <v>9</v>
      </c>
      <c r="L63" s="23"/>
      <c r="M63" s="23"/>
      <c r="N63" s="23"/>
      <c r="O63" s="23"/>
      <c r="P63" s="23"/>
      <c r="Q63" s="23"/>
      <c r="R63" s="23"/>
      <c r="S63" s="23"/>
      <c r="T63" s="23"/>
    </row>
    <row r="64" spans="1:20" s="39" customFormat="1" ht="52.5" customHeight="1" x14ac:dyDescent="0.35">
      <c r="A64" s="18" t="s">
        <v>48</v>
      </c>
      <c r="B64" s="7" t="s">
        <v>49</v>
      </c>
      <c r="C64" s="140" t="s">
        <v>50</v>
      </c>
      <c r="D64" s="141"/>
      <c r="E64" s="142"/>
      <c r="F64" s="184"/>
      <c r="G64" s="184"/>
      <c r="H64" s="67">
        <f>1500+521+450+930+5755.86+5407.02+3662.82+1486.5</f>
        <v>19713.2</v>
      </c>
      <c r="I64" s="7" t="s">
        <v>52</v>
      </c>
      <c r="J64" s="7" t="s">
        <v>49</v>
      </c>
      <c r="K64" s="22" t="s">
        <v>51</v>
      </c>
      <c r="L64" s="23"/>
      <c r="M64" s="23"/>
      <c r="N64" s="23"/>
      <c r="O64" s="23"/>
      <c r="P64" s="23"/>
      <c r="Q64" s="23"/>
      <c r="R64" s="23"/>
      <c r="S64" s="23"/>
      <c r="T64" s="23"/>
    </row>
    <row r="65" spans="1:20" s="39" customFormat="1" ht="52.5" customHeight="1" x14ac:dyDescent="0.35">
      <c r="A65" s="18" t="s">
        <v>48</v>
      </c>
      <c r="B65" s="7" t="s">
        <v>54</v>
      </c>
      <c r="C65" s="140" t="s">
        <v>55</v>
      </c>
      <c r="D65" s="141" t="s">
        <v>56</v>
      </c>
      <c r="E65" s="142" t="s">
        <v>57</v>
      </c>
      <c r="F65" s="184"/>
      <c r="G65" s="184"/>
      <c r="H65" s="67">
        <f>1340+2779+1094.7+3876+3303</f>
        <v>12392.7</v>
      </c>
      <c r="I65" s="7" t="s">
        <v>52</v>
      </c>
      <c r="J65" s="7" t="s">
        <v>100</v>
      </c>
      <c r="K65" s="22"/>
      <c r="L65" s="23"/>
      <c r="M65" s="23"/>
      <c r="N65" s="23"/>
      <c r="O65" s="23"/>
      <c r="P65" s="23"/>
      <c r="Q65" s="23"/>
      <c r="R65" s="23"/>
      <c r="S65" s="23"/>
      <c r="T65" s="23"/>
    </row>
    <row r="66" spans="1:20" s="73" customFormat="1" ht="45.75" customHeight="1" x14ac:dyDescent="0.35">
      <c r="A66" s="31" t="s">
        <v>101</v>
      </c>
      <c r="B66" s="2" t="s">
        <v>728</v>
      </c>
      <c r="C66" s="140" t="s">
        <v>109</v>
      </c>
      <c r="D66" s="141" t="s">
        <v>64</v>
      </c>
      <c r="E66" s="142" t="s">
        <v>57</v>
      </c>
      <c r="F66" s="184"/>
      <c r="G66" s="181"/>
      <c r="H66" s="67">
        <f>82445.94+741+35175.84+45486+7649.4+912</f>
        <v>172410.18</v>
      </c>
      <c r="I66" s="7" t="s">
        <v>127</v>
      </c>
      <c r="J66" s="7" t="s">
        <v>128</v>
      </c>
      <c r="K66" s="22" t="s">
        <v>129</v>
      </c>
    </row>
    <row r="67" spans="1:20" s="73" customFormat="1" ht="45.75" customHeight="1" x14ac:dyDescent="0.35">
      <c r="A67" s="31" t="s">
        <v>102</v>
      </c>
      <c r="B67" s="8" t="s">
        <v>122</v>
      </c>
      <c r="C67" s="43" t="s">
        <v>123</v>
      </c>
      <c r="D67" s="33"/>
      <c r="E67" s="34"/>
      <c r="F67" s="180"/>
      <c r="G67" s="181"/>
      <c r="H67" s="67">
        <v>90000</v>
      </c>
      <c r="I67" s="1" t="s">
        <v>124</v>
      </c>
      <c r="J67" s="8" t="s">
        <v>125</v>
      </c>
      <c r="K67" s="2" t="s">
        <v>126</v>
      </c>
    </row>
    <row r="68" spans="1:20" s="73" customFormat="1" ht="45.75" customHeight="1" x14ac:dyDescent="0.35">
      <c r="A68" s="31" t="s">
        <v>156</v>
      </c>
      <c r="B68" s="2" t="s">
        <v>728</v>
      </c>
      <c r="C68" s="32" t="s">
        <v>50</v>
      </c>
      <c r="D68" s="33"/>
      <c r="E68" s="34"/>
      <c r="F68" s="181"/>
      <c r="G68" s="181"/>
      <c r="H68" s="67">
        <f>6158+3360+1371+2010-1.3+2382.6+752.4+1765.85+1952.25+1760.15+500+850+975</f>
        <v>23835.95</v>
      </c>
      <c r="I68" s="7" t="s">
        <v>127</v>
      </c>
      <c r="J68" s="2" t="s">
        <v>203</v>
      </c>
      <c r="K68" s="19" t="s">
        <v>204</v>
      </c>
    </row>
    <row r="69" spans="1:20" s="73" customFormat="1" ht="48.75" customHeight="1" x14ac:dyDescent="0.35">
      <c r="A69" s="8" t="s">
        <v>219</v>
      </c>
      <c r="B69" s="8" t="s">
        <v>244</v>
      </c>
      <c r="C69" s="43" t="s">
        <v>50</v>
      </c>
      <c r="D69" s="43"/>
      <c r="E69" s="9"/>
      <c r="F69" s="182"/>
      <c r="G69" s="182"/>
      <c r="H69" s="67">
        <v>1254</v>
      </c>
      <c r="I69" s="1" t="s">
        <v>245</v>
      </c>
      <c r="J69" s="8" t="s">
        <v>246</v>
      </c>
      <c r="K69" s="2" t="s">
        <v>72</v>
      </c>
    </row>
    <row r="70" spans="1:20" s="73" customFormat="1" ht="48.75" customHeight="1" x14ac:dyDescent="0.35">
      <c r="A70" s="8" t="s">
        <v>220</v>
      </c>
      <c r="B70" s="8" t="s">
        <v>122</v>
      </c>
      <c r="C70" s="43" t="s">
        <v>50</v>
      </c>
      <c r="D70" s="43"/>
      <c r="E70" s="9"/>
      <c r="F70" s="182"/>
      <c r="G70" s="182"/>
      <c r="H70" s="67">
        <f>35089.2+1800+2000+1950</f>
        <v>40839.199999999997</v>
      </c>
      <c r="I70" s="1" t="s">
        <v>52</v>
      </c>
      <c r="J70" s="8" t="s">
        <v>247</v>
      </c>
      <c r="K70" s="2"/>
    </row>
    <row r="71" spans="1:20" s="73" customFormat="1" ht="48.75" customHeight="1" x14ac:dyDescent="0.35">
      <c r="A71" s="8" t="s">
        <v>221</v>
      </c>
      <c r="B71" s="8" t="s">
        <v>122</v>
      </c>
      <c r="C71" s="43" t="s">
        <v>50</v>
      </c>
      <c r="D71" s="43"/>
      <c r="E71" s="9"/>
      <c r="F71" s="182"/>
      <c r="G71" s="182"/>
      <c r="H71" s="67">
        <v>19999</v>
      </c>
      <c r="I71" s="1" t="s">
        <v>52</v>
      </c>
      <c r="J71" s="8" t="s">
        <v>308</v>
      </c>
      <c r="K71" s="2" t="s">
        <v>309</v>
      </c>
    </row>
    <row r="72" spans="1:20" s="73" customFormat="1" ht="48.75" customHeight="1" x14ac:dyDescent="0.35">
      <c r="A72" s="8" t="s">
        <v>222</v>
      </c>
      <c r="B72" s="8" t="s">
        <v>231</v>
      </c>
      <c r="C72" s="43" t="s">
        <v>50</v>
      </c>
      <c r="D72" s="43"/>
      <c r="E72" s="9"/>
      <c r="F72" s="182"/>
      <c r="G72" s="182"/>
      <c r="H72" s="67">
        <f>2300+400+1403.3*2</f>
        <v>5506.6</v>
      </c>
      <c r="I72" s="1" t="s">
        <v>232</v>
      </c>
      <c r="J72" s="8" t="s">
        <v>179</v>
      </c>
      <c r="K72" s="2" t="s">
        <v>233</v>
      </c>
    </row>
    <row r="73" spans="1:20" s="73" customFormat="1" ht="48.75" customHeight="1" x14ac:dyDescent="0.35">
      <c r="A73" s="24" t="s">
        <v>268</v>
      </c>
      <c r="B73" s="24" t="s">
        <v>302</v>
      </c>
      <c r="C73" s="43" t="s">
        <v>50</v>
      </c>
      <c r="D73" s="43"/>
      <c r="E73" s="9"/>
      <c r="F73" s="182"/>
      <c r="G73" s="182"/>
      <c r="H73" s="21">
        <v>100000</v>
      </c>
      <c r="I73" s="1" t="s">
        <v>52</v>
      </c>
      <c r="J73" s="8" t="s">
        <v>729</v>
      </c>
      <c r="K73" s="2" t="s">
        <v>310</v>
      </c>
    </row>
    <row r="74" spans="1:20" s="73" customFormat="1" ht="48.75" customHeight="1" x14ac:dyDescent="0.35">
      <c r="A74" s="24" t="s">
        <v>270</v>
      </c>
      <c r="B74" s="24" t="s">
        <v>302</v>
      </c>
      <c r="C74" s="43" t="s">
        <v>50</v>
      </c>
      <c r="D74" s="43"/>
      <c r="E74" s="9"/>
      <c r="F74" s="182"/>
      <c r="G74" s="182"/>
      <c r="H74" s="21">
        <f>18500+23000+15000</f>
        <v>56500</v>
      </c>
      <c r="I74" s="1" t="s">
        <v>52</v>
      </c>
      <c r="J74" s="8" t="s">
        <v>307</v>
      </c>
      <c r="K74" s="2" t="s">
        <v>305</v>
      </c>
    </row>
    <row r="75" spans="1:20" s="73" customFormat="1" ht="48.75" customHeight="1" x14ac:dyDescent="0.35">
      <c r="A75" s="24" t="s">
        <v>303</v>
      </c>
      <c r="B75" s="24" t="s">
        <v>302</v>
      </c>
      <c r="C75" s="43" t="s">
        <v>50</v>
      </c>
      <c r="D75" s="43"/>
      <c r="E75" s="9"/>
      <c r="F75" s="182"/>
      <c r="G75" s="182"/>
      <c r="H75" s="21">
        <v>9850</v>
      </c>
      <c r="I75" s="1" t="s">
        <v>52</v>
      </c>
      <c r="J75" s="8" t="s">
        <v>304</v>
      </c>
      <c r="K75" s="2" t="s">
        <v>305</v>
      </c>
    </row>
    <row r="76" spans="1:20" s="73" customFormat="1" ht="48.75" customHeight="1" x14ac:dyDescent="0.35">
      <c r="A76" s="24" t="s">
        <v>271</v>
      </c>
      <c r="B76" s="24" t="s">
        <v>302</v>
      </c>
      <c r="C76" s="43" t="s">
        <v>50</v>
      </c>
      <c r="D76" s="43"/>
      <c r="E76" s="9"/>
      <c r="F76" s="182"/>
      <c r="G76" s="182"/>
      <c r="H76" s="21">
        <v>9750</v>
      </c>
      <c r="I76" s="1" t="s">
        <v>52</v>
      </c>
      <c r="J76" s="8" t="s">
        <v>306</v>
      </c>
      <c r="K76" s="2" t="s">
        <v>305</v>
      </c>
    </row>
    <row r="77" spans="1:20" s="73" customFormat="1" ht="48.75" customHeight="1" x14ac:dyDescent="0.35">
      <c r="A77" s="24" t="s">
        <v>272</v>
      </c>
      <c r="B77" s="8" t="s">
        <v>231</v>
      </c>
      <c r="C77" s="43" t="s">
        <v>50</v>
      </c>
      <c r="D77" s="43"/>
      <c r="E77" s="9"/>
      <c r="F77" s="182"/>
      <c r="G77" s="182"/>
      <c r="H77" s="21">
        <f>5900+8900</f>
        <v>14800</v>
      </c>
      <c r="I77" s="1" t="s">
        <v>232</v>
      </c>
      <c r="J77" s="8" t="s">
        <v>179</v>
      </c>
      <c r="K77" s="2" t="s">
        <v>284</v>
      </c>
    </row>
    <row r="78" spans="1:20" s="73" customFormat="1" ht="48.75" customHeight="1" x14ac:dyDescent="0.35">
      <c r="A78" s="24" t="s">
        <v>327</v>
      </c>
      <c r="B78" s="8" t="s">
        <v>122</v>
      </c>
      <c r="C78" s="43" t="s">
        <v>50</v>
      </c>
      <c r="D78" s="43"/>
      <c r="E78" s="9"/>
      <c r="F78" s="182"/>
      <c r="G78" s="182"/>
      <c r="H78" s="21">
        <v>17200</v>
      </c>
      <c r="I78" s="1" t="s">
        <v>52</v>
      </c>
      <c r="J78" s="8" t="s">
        <v>356</v>
      </c>
      <c r="K78" s="2" t="s">
        <v>305</v>
      </c>
    </row>
    <row r="79" spans="1:20" s="73" customFormat="1" ht="48.75" customHeight="1" x14ac:dyDescent="0.35">
      <c r="A79" s="8" t="s">
        <v>328</v>
      </c>
      <c r="B79" s="8" t="s">
        <v>231</v>
      </c>
      <c r="C79" s="43" t="s">
        <v>50</v>
      </c>
      <c r="D79" s="43"/>
      <c r="E79" s="9"/>
      <c r="F79" s="182"/>
      <c r="G79" s="182"/>
      <c r="H79" s="67">
        <v>9800</v>
      </c>
      <c r="I79" s="1" t="s">
        <v>232</v>
      </c>
      <c r="J79" s="8" t="s">
        <v>179</v>
      </c>
      <c r="K79" s="2" t="s">
        <v>334</v>
      </c>
    </row>
    <row r="80" spans="1:20" s="73" customFormat="1" ht="48.75" customHeight="1" x14ac:dyDescent="0.35">
      <c r="A80" s="8" t="s">
        <v>329</v>
      </c>
      <c r="B80" s="8" t="s">
        <v>127</v>
      </c>
      <c r="C80" s="43" t="s">
        <v>50</v>
      </c>
      <c r="D80" s="43"/>
      <c r="E80" s="9"/>
      <c r="F80" s="182"/>
      <c r="G80" s="182"/>
      <c r="H80" s="67">
        <v>6070.5</v>
      </c>
      <c r="I80" s="1" t="s">
        <v>127</v>
      </c>
      <c r="J80" s="8" t="s">
        <v>203</v>
      </c>
      <c r="K80" s="2" t="s">
        <v>65</v>
      </c>
    </row>
    <row r="81" spans="1:11" s="73" customFormat="1" ht="48.75" customHeight="1" x14ac:dyDescent="0.35">
      <c r="A81" s="8" t="s">
        <v>365</v>
      </c>
      <c r="B81" s="8" t="s">
        <v>127</v>
      </c>
      <c r="C81" s="43" t="s">
        <v>50</v>
      </c>
      <c r="D81" s="43"/>
      <c r="E81" s="9"/>
      <c r="F81" s="182"/>
      <c r="G81" s="182"/>
      <c r="H81" s="67">
        <v>6350.94</v>
      </c>
      <c r="I81" s="1" t="s">
        <v>127</v>
      </c>
      <c r="J81" s="8" t="s">
        <v>366</v>
      </c>
      <c r="K81" s="2"/>
    </row>
    <row r="82" spans="1:11" s="73" customFormat="1" ht="48.75" customHeight="1" x14ac:dyDescent="0.35">
      <c r="A82" s="8" t="s">
        <v>367</v>
      </c>
      <c r="B82" s="8" t="s">
        <v>368</v>
      </c>
      <c r="C82" s="43" t="s">
        <v>55</v>
      </c>
      <c r="D82" s="43" t="s">
        <v>56</v>
      </c>
      <c r="E82" s="9" t="s">
        <v>57</v>
      </c>
      <c r="F82" s="182"/>
      <c r="G82" s="182"/>
      <c r="H82" s="67">
        <v>53325</v>
      </c>
      <c r="I82" s="1" t="s">
        <v>52</v>
      </c>
      <c r="J82" s="8" t="s">
        <v>369</v>
      </c>
      <c r="K82" s="2" t="s">
        <v>370</v>
      </c>
    </row>
    <row r="83" spans="1:11" s="73" customFormat="1" ht="48.75" customHeight="1" x14ac:dyDescent="0.35">
      <c r="A83" s="8" t="s">
        <v>381</v>
      </c>
      <c r="B83" s="8" t="s">
        <v>382</v>
      </c>
      <c r="C83" s="43" t="s">
        <v>50</v>
      </c>
      <c r="D83" s="43"/>
      <c r="E83" s="9"/>
      <c r="F83" s="182"/>
      <c r="G83" s="182"/>
      <c r="H83" s="67">
        <v>3500</v>
      </c>
      <c r="I83" s="1" t="s">
        <v>52</v>
      </c>
      <c r="J83" s="8" t="s">
        <v>382</v>
      </c>
      <c r="K83" s="2" t="s">
        <v>383</v>
      </c>
    </row>
    <row r="84" spans="1:11" s="73" customFormat="1" ht="48.75" customHeight="1" x14ac:dyDescent="0.35">
      <c r="A84" s="8" t="s">
        <v>384</v>
      </c>
      <c r="B84" s="8" t="s">
        <v>385</v>
      </c>
      <c r="C84" s="43" t="s">
        <v>50</v>
      </c>
      <c r="D84" s="43"/>
      <c r="E84" s="9"/>
      <c r="F84" s="182"/>
      <c r="G84" s="182"/>
      <c r="H84" s="67">
        <v>1900</v>
      </c>
      <c r="I84" s="1" t="s">
        <v>52</v>
      </c>
      <c r="J84" s="8" t="s">
        <v>386</v>
      </c>
      <c r="K84" s="2" t="s">
        <v>383</v>
      </c>
    </row>
    <row r="85" spans="1:11" s="73" customFormat="1" ht="48.75" customHeight="1" x14ac:dyDescent="0.35">
      <c r="A85" s="8" t="s">
        <v>387</v>
      </c>
      <c r="B85" s="8" t="s">
        <v>388</v>
      </c>
      <c r="C85" s="43" t="s">
        <v>50</v>
      </c>
      <c r="D85" s="43"/>
      <c r="E85" s="9"/>
      <c r="F85" s="182"/>
      <c r="G85" s="182"/>
      <c r="H85" s="67">
        <v>2000</v>
      </c>
      <c r="I85" s="1" t="s">
        <v>52</v>
      </c>
      <c r="J85" s="8" t="s">
        <v>730</v>
      </c>
      <c r="K85" s="2" t="s">
        <v>383</v>
      </c>
    </row>
    <row r="86" spans="1:11" s="73" customFormat="1" ht="48.75" customHeight="1" x14ac:dyDescent="0.35">
      <c r="A86" s="8" t="s">
        <v>389</v>
      </c>
      <c r="B86" s="8" t="s">
        <v>385</v>
      </c>
      <c r="C86" s="43" t="s">
        <v>50</v>
      </c>
      <c r="D86" s="43"/>
      <c r="E86" s="9"/>
      <c r="F86" s="182"/>
      <c r="G86" s="182"/>
      <c r="H86" s="67">
        <v>2000</v>
      </c>
      <c r="I86" s="1" t="s">
        <v>52</v>
      </c>
      <c r="J86" s="8" t="s">
        <v>390</v>
      </c>
      <c r="K86" s="2" t="s">
        <v>383</v>
      </c>
    </row>
    <row r="87" spans="1:11" s="73" customFormat="1" ht="48.75" customHeight="1" x14ac:dyDescent="0.35">
      <c r="A87" s="8" t="s">
        <v>371</v>
      </c>
      <c r="B87" s="8" t="s">
        <v>122</v>
      </c>
      <c r="C87" s="43" t="s">
        <v>50</v>
      </c>
      <c r="D87" s="43"/>
      <c r="E87" s="9"/>
      <c r="F87" s="182"/>
      <c r="G87" s="182"/>
      <c r="H87" s="67">
        <v>15000.12</v>
      </c>
      <c r="I87" s="1" t="s">
        <v>52</v>
      </c>
      <c r="J87" s="8" t="s">
        <v>420</v>
      </c>
      <c r="K87" s="2" t="s">
        <v>305</v>
      </c>
    </row>
    <row r="88" spans="1:11" s="73" customFormat="1" ht="48.75" customHeight="1" x14ac:dyDescent="0.35">
      <c r="A88" s="8" t="s">
        <v>372</v>
      </c>
      <c r="B88" s="8" t="s">
        <v>122</v>
      </c>
      <c r="C88" s="43" t="s">
        <v>55</v>
      </c>
      <c r="D88" s="43" t="s">
        <v>56</v>
      </c>
      <c r="E88" s="9" t="s">
        <v>57</v>
      </c>
      <c r="F88" s="182"/>
      <c r="G88" s="182"/>
      <c r="H88" s="67">
        <v>17500</v>
      </c>
      <c r="I88" s="1" t="s">
        <v>52</v>
      </c>
      <c r="J88" s="8" t="s">
        <v>421</v>
      </c>
      <c r="K88" s="2" t="s">
        <v>305</v>
      </c>
    </row>
    <row r="89" spans="1:11" s="73" customFormat="1" ht="48.75" customHeight="1" x14ac:dyDescent="0.35">
      <c r="A89" s="8" t="s">
        <v>373</v>
      </c>
      <c r="B89" s="8" t="s">
        <v>122</v>
      </c>
      <c r="C89" s="43" t="s">
        <v>50</v>
      </c>
      <c r="D89" s="43"/>
      <c r="E89" s="9"/>
      <c r="F89" s="182"/>
      <c r="G89" s="182"/>
      <c r="H89" s="67">
        <f>18240*2</f>
        <v>36480</v>
      </c>
      <c r="I89" s="1" t="s">
        <v>52</v>
      </c>
      <c r="J89" s="8" t="s">
        <v>356</v>
      </c>
      <c r="K89" s="2" t="s">
        <v>305</v>
      </c>
    </row>
    <row r="90" spans="1:11" s="73" customFormat="1" ht="48.75" customHeight="1" x14ac:dyDescent="0.35">
      <c r="A90" s="8" t="s">
        <v>374</v>
      </c>
      <c r="B90" s="8" t="s">
        <v>231</v>
      </c>
      <c r="C90" s="43" t="s">
        <v>50</v>
      </c>
      <c r="D90" s="43"/>
      <c r="E90" s="9"/>
      <c r="F90" s="182"/>
      <c r="G90" s="182"/>
      <c r="H90" s="67">
        <v>2500</v>
      </c>
      <c r="I90" s="1" t="s">
        <v>232</v>
      </c>
      <c r="J90" s="8" t="s">
        <v>179</v>
      </c>
      <c r="K90" s="2" t="s">
        <v>383</v>
      </c>
    </row>
    <row r="91" spans="1:11" s="73" customFormat="1" ht="48.75" customHeight="1" x14ac:dyDescent="0.35">
      <c r="A91" s="8" t="s">
        <v>434</v>
      </c>
      <c r="B91" s="8" t="s">
        <v>458</v>
      </c>
      <c r="C91" s="43" t="s">
        <v>459</v>
      </c>
      <c r="D91" s="43" t="s">
        <v>460</v>
      </c>
      <c r="E91" s="9"/>
      <c r="F91" s="182"/>
      <c r="G91" s="182"/>
      <c r="H91" s="67">
        <v>186453.33</v>
      </c>
      <c r="I91" s="1" t="s">
        <v>461</v>
      </c>
      <c r="J91" s="8" t="s">
        <v>458</v>
      </c>
      <c r="K91" s="2" t="s">
        <v>462</v>
      </c>
    </row>
    <row r="92" spans="1:11" s="73" customFormat="1" ht="48.75" customHeight="1" x14ac:dyDescent="0.35">
      <c r="A92" s="8" t="s">
        <v>435</v>
      </c>
      <c r="B92" s="8" t="s">
        <v>231</v>
      </c>
      <c r="C92" s="43" t="s">
        <v>50</v>
      </c>
      <c r="D92" s="43"/>
      <c r="E92" s="9"/>
      <c r="F92" s="182"/>
      <c r="G92" s="182"/>
      <c r="H92" s="67">
        <v>10700</v>
      </c>
      <c r="I92" s="1" t="s">
        <v>232</v>
      </c>
      <c r="J92" s="8" t="s">
        <v>179</v>
      </c>
      <c r="K92" s="2" t="s">
        <v>72</v>
      </c>
    </row>
    <row r="93" spans="1:11" s="73" customFormat="1" ht="48.75" customHeight="1" x14ac:dyDescent="0.35">
      <c r="A93" s="8" t="s">
        <v>436</v>
      </c>
      <c r="B93" s="8" t="s">
        <v>122</v>
      </c>
      <c r="C93" s="43" t="s">
        <v>50</v>
      </c>
      <c r="D93" s="43"/>
      <c r="E93" s="9"/>
      <c r="F93" s="182"/>
      <c r="G93" s="182"/>
      <c r="H93" s="67">
        <f>28500*2</f>
        <v>57000</v>
      </c>
      <c r="I93" s="1" t="s">
        <v>52</v>
      </c>
      <c r="J93" s="8" t="s">
        <v>465</v>
      </c>
      <c r="K93" s="2" t="s">
        <v>126</v>
      </c>
    </row>
    <row r="94" spans="1:11" s="73" customFormat="1" ht="48.75" customHeight="1" x14ac:dyDescent="0.35">
      <c r="A94" s="8" t="s">
        <v>437</v>
      </c>
      <c r="B94" s="8" t="s">
        <v>466</v>
      </c>
      <c r="C94" s="43" t="s">
        <v>55</v>
      </c>
      <c r="D94" s="43" t="s">
        <v>56</v>
      </c>
      <c r="E94" s="9" t="s">
        <v>57</v>
      </c>
      <c r="F94" s="182"/>
      <c r="G94" s="182"/>
      <c r="H94" s="67">
        <v>7638</v>
      </c>
      <c r="I94" s="1" t="s">
        <v>52</v>
      </c>
      <c r="J94" s="8" t="s">
        <v>466</v>
      </c>
      <c r="K94" s="2" t="s">
        <v>65</v>
      </c>
    </row>
    <row r="95" spans="1:11" s="73" customFormat="1" ht="48.75" customHeight="1" x14ac:dyDescent="0.35">
      <c r="A95" s="8" t="s">
        <v>564</v>
      </c>
      <c r="B95" s="8" t="s">
        <v>581</v>
      </c>
      <c r="C95" s="43" t="s">
        <v>582</v>
      </c>
      <c r="D95" s="43" t="s">
        <v>583</v>
      </c>
      <c r="E95" s="9" t="s">
        <v>584</v>
      </c>
      <c r="F95" s="182"/>
      <c r="G95" s="182"/>
      <c r="H95" s="67">
        <v>44363</v>
      </c>
      <c r="I95" s="1" t="s">
        <v>52</v>
      </c>
      <c r="J95" s="8" t="s">
        <v>581</v>
      </c>
      <c r="K95" s="2" t="s">
        <v>585</v>
      </c>
    </row>
    <row r="96" spans="1:11" s="73" customFormat="1" ht="48.75" customHeight="1" x14ac:dyDescent="0.35">
      <c r="A96" s="8" t="s">
        <v>598</v>
      </c>
      <c r="B96" s="8" t="s">
        <v>461</v>
      </c>
      <c r="C96" s="43" t="s">
        <v>50</v>
      </c>
      <c r="D96" s="43"/>
      <c r="E96" s="9"/>
      <c r="F96" s="182"/>
      <c r="G96" s="182"/>
      <c r="H96" s="67">
        <v>30000</v>
      </c>
      <c r="I96" s="1" t="s">
        <v>52</v>
      </c>
      <c r="J96" s="8" t="s">
        <v>461</v>
      </c>
      <c r="K96" s="2" t="s">
        <v>72</v>
      </c>
    </row>
    <row r="97" spans="1:20" s="73" customFormat="1" ht="48.75" customHeight="1" x14ac:dyDescent="0.35">
      <c r="A97" s="8" t="s">
        <v>599</v>
      </c>
      <c r="B97" s="8" t="s">
        <v>122</v>
      </c>
      <c r="C97" s="43" t="s">
        <v>50</v>
      </c>
      <c r="D97" s="43"/>
      <c r="E97" s="9"/>
      <c r="F97" s="182"/>
      <c r="G97" s="182"/>
      <c r="H97" s="67">
        <v>12768</v>
      </c>
      <c r="I97" s="1" t="s">
        <v>52</v>
      </c>
      <c r="J97" s="8" t="s">
        <v>637</v>
      </c>
      <c r="K97" s="2" t="s">
        <v>126</v>
      </c>
    </row>
    <row r="98" spans="1:20" s="73" customFormat="1" ht="48.75" customHeight="1" x14ac:dyDescent="0.35">
      <c r="A98" s="8"/>
      <c r="B98" s="8"/>
      <c r="C98" s="43"/>
      <c r="D98" s="43"/>
      <c r="E98" s="9"/>
      <c r="F98" s="182"/>
      <c r="G98" s="182"/>
      <c r="H98" s="67"/>
      <c r="I98" s="1"/>
      <c r="J98" s="8"/>
      <c r="K98" s="2"/>
    </row>
    <row r="99" spans="1:20" s="39" customFormat="1" ht="42.75" customHeight="1" x14ac:dyDescent="0.35">
      <c r="A99" s="54" t="s">
        <v>6</v>
      </c>
      <c r="B99" s="4"/>
      <c r="C99" s="4"/>
      <c r="D99" s="4"/>
      <c r="E99" s="5"/>
      <c r="F99" s="19"/>
      <c r="G99" s="20"/>
      <c r="H99" s="76">
        <f>SUM(H64:H97)</f>
        <v>1099399.7199999997</v>
      </c>
      <c r="I99" s="11"/>
      <c r="J99" s="11"/>
      <c r="K99" s="11"/>
      <c r="L99" s="23"/>
      <c r="M99" s="23"/>
      <c r="N99" s="23"/>
      <c r="O99" s="23"/>
      <c r="P99" s="23"/>
      <c r="Q99" s="23"/>
      <c r="R99" s="23"/>
      <c r="S99" s="23"/>
      <c r="T99" s="23"/>
    </row>
    <row r="100" spans="1:20" s="39" customFormat="1" ht="45" customHeight="1" x14ac:dyDescent="0.35">
      <c r="A100" s="269"/>
      <c r="B100" s="269"/>
      <c r="C100" s="269"/>
      <c r="D100" s="269"/>
      <c r="E100" s="269"/>
      <c r="F100" s="269"/>
      <c r="G100" s="269"/>
      <c r="H100" s="269"/>
      <c r="I100" s="269"/>
      <c r="J100" s="269"/>
      <c r="K100" s="269"/>
      <c r="L100" s="23"/>
      <c r="M100" s="23"/>
      <c r="N100" s="23"/>
      <c r="O100" s="23"/>
      <c r="P100" s="23"/>
      <c r="Q100" s="23"/>
      <c r="R100" s="23"/>
      <c r="S100" s="23"/>
      <c r="T100" s="23"/>
    </row>
    <row r="101" spans="1:20" s="39" customFormat="1" ht="43.5" customHeight="1" x14ac:dyDescent="0.35">
      <c r="A101" s="264" t="s">
        <v>19</v>
      </c>
      <c r="B101" s="264"/>
      <c r="C101" s="264"/>
      <c r="D101" s="264"/>
      <c r="E101" s="264"/>
      <c r="F101" s="264"/>
      <c r="G101" s="264"/>
      <c r="H101" s="264"/>
      <c r="I101" s="264"/>
      <c r="J101" s="264"/>
      <c r="K101" s="264"/>
      <c r="L101" s="23"/>
      <c r="M101" s="23"/>
      <c r="N101" s="23"/>
      <c r="O101" s="23"/>
      <c r="P101" s="23"/>
      <c r="Q101" s="23"/>
      <c r="R101" s="23"/>
      <c r="S101" s="23"/>
      <c r="T101" s="23"/>
    </row>
    <row r="102" spans="1:20" s="39" customFormat="1" ht="49.5" customHeight="1" x14ac:dyDescent="0.35">
      <c r="A102" s="151" t="s">
        <v>0</v>
      </c>
      <c r="B102" s="151" t="s">
        <v>1</v>
      </c>
      <c r="C102" s="150" t="s">
        <v>12</v>
      </c>
      <c r="D102" s="150" t="s">
        <v>13</v>
      </c>
      <c r="E102" s="151" t="s">
        <v>2</v>
      </c>
      <c r="F102" s="152" t="s">
        <v>3</v>
      </c>
      <c r="G102" s="151" t="s">
        <v>4</v>
      </c>
      <c r="H102" s="76" t="s">
        <v>7</v>
      </c>
      <c r="I102" s="150" t="s">
        <v>14</v>
      </c>
      <c r="J102" s="150" t="s">
        <v>10</v>
      </c>
      <c r="K102" s="150" t="s">
        <v>9</v>
      </c>
      <c r="L102" s="23"/>
      <c r="M102" s="23"/>
      <c r="N102" s="23"/>
      <c r="O102" s="23"/>
      <c r="P102" s="23"/>
      <c r="Q102" s="23"/>
      <c r="R102" s="23"/>
      <c r="S102" s="23"/>
      <c r="T102" s="23"/>
    </row>
    <row r="103" spans="1:20" s="23" customFormat="1" ht="35.25" customHeight="1" x14ac:dyDescent="0.35">
      <c r="A103" s="86" t="s">
        <v>69</v>
      </c>
      <c r="B103" s="75" t="s">
        <v>67</v>
      </c>
      <c r="C103" s="74" t="s">
        <v>55</v>
      </c>
      <c r="D103" s="74" t="s">
        <v>68</v>
      </c>
      <c r="E103" s="9" t="s">
        <v>57</v>
      </c>
      <c r="F103" s="68"/>
      <c r="G103" s="10"/>
      <c r="H103" s="12">
        <v>15000</v>
      </c>
      <c r="I103" s="8" t="s">
        <v>70</v>
      </c>
      <c r="J103" s="75" t="s">
        <v>71</v>
      </c>
      <c r="K103" s="2" t="s">
        <v>72</v>
      </c>
    </row>
    <row r="104" spans="1:20" s="23" customFormat="1" ht="35.25" customHeight="1" x14ac:dyDescent="0.35">
      <c r="A104" s="86" t="s">
        <v>92</v>
      </c>
      <c r="B104" s="75" t="s">
        <v>67</v>
      </c>
      <c r="C104" s="74" t="s">
        <v>55</v>
      </c>
      <c r="D104" s="74" t="s">
        <v>68</v>
      </c>
      <c r="E104" s="9" t="s">
        <v>57</v>
      </c>
      <c r="F104" s="68"/>
      <c r="G104" s="10"/>
      <c r="H104" s="12">
        <v>15000</v>
      </c>
      <c r="I104" s="8" t="s">
        <v>70</v>
      </c>
      <c r="J104" s="75" t="s">
        <v>71</v>
      </c>
      <c r="K104" s="2" t="s">
        <v>72</v>
      </c>
    </row>
    <row r="105" spans="1:20" s="23" customFormat="1" ht="35.25" customHeight="1" x14ac:dyDescent="0.35">
      <c r="A105" s="86" t="s">
        <v>93</v>
      </c>
      <c r="B105" s="75" t="s">
        <v>205</v>
      </c>
      <c r="C105" s="74" t="s">
        <v>55</v>
      </c>
      <c r="D105" s="74" t="s">
        <v>56</v>
      </c>
      <c r="E105" s="9" t="s">
        <v>57</v>
      </c>
      <c r="F105" s="68"/>
      <c r="G105" s="10"/>
      <c r="H105" s="12">
        <v>45058.5</v>
      </c>
      <c r="I105" s="8" t="s">
        <v>193</v>
      </c>
      <c r="J105" s="75" t="s">
        <v>206</v>
      </c>
      <c r="K105" s="2" t="s">
        <v>204</v>
      </c>
    </row>
    <row r="106" spans="1:20" s="23" customFormat="1" ht="35.25" customHeight="1" x14ac:dyDescent="0.35">
      <c r="A106" s="86" t="s">
        <v>562</v>
      </c>
      <c r="B106" s="75" t="s">
        <v>579</v>
      </c>
      <c r="C106" s="74" t="s">
        <v>55</v>
      </c>
      <c r="D106" s="74" t="s">
        <v>56</v>
      </c>
      <c r="E106" s="9" t="s">
        <v>57</v>
      </c>
      <c r="F106" s="68"/>
      <c r="G106" s="10"/>
      <c r="H106" s="12">
        <v>80529.820000000007</v>
      </c>
      <c r="I106" s="8" t="s">
        <v>193</v>
      </c>
      <c r="J106" s="75" t="s">
        <v>731</v>
      </c>
      <c r="K106" s="2" t="s">
        <v>580</v>
      </c>
    </row>
    <row r="107" spans="1:20" s="39" customFormat="1" ht="45" customHeight="1" x14ac:dyDescent="0.35">
      <c r="A107" s="54" t="s">
        <v>6</v>
      </c>
      <c r="B107" s="4"/>
      <c r="C107" s="4"/>
      <c r="D107" s="4"/>
      <c r="E107" s="5"/>
      <c r="F107" s="19"/>
      <c r="G107" s="5"/>
      <c r="H107" s="76">
        <f>SUM(H103:H103:H106)</f>
        <v>155588.32</v>
      </c>
      <c r="I107" s="11"/>
      <c r="J107" s="11"/>
      <c r="K107" s="19"/>
      <c r="L107" s="23"/>
      <c r="M107" s="23"/>
      <c r="N107" s="23"/>
      <c r="O107" s="23"/>
      <c r="P107" s="23"/>
      <c r="Q107" s="23"/>
      <c r="R107" s="23"/>
      <c r="S107" s="23"/>
      <c r="T107" s="23"/>
    </row>
    <row r="108" spans="1:20" s="39" customFormat="1" ht="39.75" customHeight="1" x14ac:dyDescent="0.35">
      <c r="A108" s="55"/>
      <c r="B108" s="4"/>
      <c r="C108" s="4"/>
      <c r="D108" s="4"/>
      <c r="E108" s="5"/>
      <c r="F108" s="19"/>
      <c r="G108" s="5"/>
      <c r="H108" s="12"/>
      <c r="I108" s="11"/>
      <c r="J108" s="11"/>
      <c r="K108" s="19"/>
      <c r="L108" s="23"/>
      <c r="M108" s="23"/>
      <c r="N108" s="23"/>
      <c r="O108" s="23"/>
      <c r="P108" s="23"/>
      <c r="Q108" s="23"/>
      <c r="R108" s="23"/>
      <c r="S108" s="23"/>
      <c r="T108" s="23"/>
    </row>
    <row r="109" spans="1:20" s="39" customFormat="1" ht="47.25" customHeight="1" x14ac:dyDescent="0.35">
      <c r="A109" s="189" t="s">
        <v>8</v>
      </c>
      <c r="B109" s="57"/>
      <c r="C109" s="57"/>
      <c r="D109" s="57"/>
      <c r="E109" s="41"/>
      <c r="F109" s="46"/>
      <c r="G109" s="41"/>
      <c r="H109" s="202">
        <f>+H107+H59+H52+H46+H40+H99</f>
        <v>36506040.079999998</v>
      </c>
      <c r="I109" s="11"/>
      <c r="J109" s="11"/>
      <c r="K109" s="19"/>
      <c r="L109" s="23"/>
      <c r="M109" s="23"/>
      <c r="N109" s="23"/>
      <c r="O109" s="23"/>
      <c r="P109" s="23"/>
      <c r="Q109" s="23"/>
      <c r="R109" s="23"/>
      <c r="S109" s="23"/>
      <c r="T109" s="23"/>
    </row>
    <row r="110" spans="1:20" ht="18" x14ac:dyDescent="0.35">
      <c r="B110" s="58"/>
      <c r="C110" s="59"/>
      <c r="D110" s="59"/>
    </row>
    <row r="111" spans="1:20" ht="18" x14ac:dyDescent="0.35">
      <c r="A111" s="266"/>
      <c r="B111" s="267"/>
      <c r="C111" s="267"/>
      <c r="D111" s="267"/>
      <c r="E111" s="267"/>
      <c r="F111" s="267"/>
      <c r="G111" s="267"/>
      <c r="H111" s="267"/>
    </row>
    <row r="114" spans="5:9" x14ac:dyDescent="0.35">
      <c r="E114" s="62"/>
    </row>
    <row r="116" spans="5:9" x14ac:dyDescent="0.35">
      <c r="E116" s="62"/>
      <c r="G116" s="63"/>
      <c r="I116" s="64"/>
    </row>
  </sheetData>
  <mergeCells count="19">
    <mergeCell ref="A11:K11"/>
    <mergeCell ref="A12:K12"/>
    <mergeCell ref="A13:K13"/>
    <mergeCell ref="A111:H111"/>
    <mergeCell ref="A61:K61"/>
    <mergeCell ref="A62:K62"/>
    <mergeCell ref="A100:K100"/>
    <mergeCell ref="A101:K101"/>
    <mergeCell ref="A42:K42"/>
    <mergeCell ref="A41:K41"/>
    <mergeCell ref="A54:K54"/>
    <mergeCell ref="A48:K48"/>
    <mergeCell ref="A53:K53"/>
    <mergeCell ref="A47:K47"/>
    <mergeCell ref="A6:H6"/>
    <mergeCell ref="A7:K7"/>
    <mergeCell ref="A9:K9"/>
    <mergeCell ref="A8:K8"/>
    <mergeCell ref="A10:K10"/>
  </mergeCells>
  <pageMargins left="0.7" right="0.7" top="0.75" bottom="0.75" header="0.3" footer="0.3"/>
  <pageSetup paperSize="8" scale="45" orientation="landscape" r:id="rId1"/>
  <rowBreaks count="4" manualBreakCount="4">
    <brk id="46" max="10" man="1"/>
    <brk id="60" max="10" man="1"/>
    <brk id="99" max="10" man="1"/>
    <brk id="110" max="10" man="1"/>
  </rowBreaks>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zoomScale="55" zoomScaleNormal="70" zoomScaleSheetLayoutView="55" workbookViewId="0">
      <selection activeCell="J1" sqref="J1"/>
    </sheetView>
  </sheetViews>
  <sheetFormatPr defaultColWidth="9.1796875" defaultRowHeight="17.5" x14ac:dyDescent="0.35"/>
  <cols>
    <col min="1" max="1" width="49.81640625" style="29" customWidth="1"/>
    <col min="2" max="2" width="67.1796875" style="61" customWidth="1"/>
    <col min="3" max="3" width="14.81640625" style="61" customWidth="1"/>
    <col min="4" max="4" width="14.26953125" style="61" customWidth="1"/>
    <col min="5" max="5" width="16.81640625" style="60" customWidth="1"/>
    <col min="6" max="6" width="13.1796875" style="29" customWidth="1"/>
    <col min="7" max="7" width="12.81640625" style="60" customWidth="1"/>
    <col min="8" max="8" width="27.453125" style="232" customWidth="1"/>
    <col min="9" max="9" width="24" style="61" customWidth="1"/>
    <col min="10" max="10" width="73.453125" style="61" customWidth="1"/>
    <col min="11" max="11" width="30" style="29" customWidth="1"/>
    <col min="12" max="16384" width="9.1796875" style="29"/>
  </cols>
  <sheetData>
    <row r="1" spans="1:12" s="27" customFormat="1" ht="18" x14ac:dyDescent="0.35">
      <c r="A1" s="262"/>
      <c r="B1" s="262"/>
      <c r="C1" s="262"/>
      <c r="D1" s="262"/>
      <c r="E1" s="262"/>
      <c r="F1" s="262"/>
      <c r="G1" s="262"/>
      <c r="H1" s="262"/>
      <c r="I1" s="26"/>
      <c r="J1" s="26"/>
    </row>
    <row r="2" spans="1:12" s="27" customFormat="1" ht="18" x14ac:dyDescent="0.35">
      <c r="A2" s="28"/>
      <c r="B2" s="28"/>
      <c r="C2" s="28"/>
      <c r="D2" s="28"/>
      <c r="E2" s="28"/>
      <c r="F2" s="28"/>
      <c r="G2" s="28"/>
      <c r="H2" s="222"/>
      <c r="I2" s="26"/>
      <c r="J2" s="26"/>
    </row>
    <row r="3" spans="1:12" s="27" customFormat="1" ht="18" x14ac:dyDescent="0.35">
      <c r="A3" s="28"/>
      <c r="B3" s="28"/>
      <c r="C3" s="28"/>
      <c r="D3" s="28"/>
      <c r="E3" s="28"/>
      <c r="F3" s="28"/>
      <c r="G3" s="28"/>
      <c r="H3" s="222"/>
      <c r="I3" s="26"/>
      <c r="J3" s="26"/>
    </row>
    <row r="4" spans="1:12" s="27" customFormat="1" ht="18" x14ac:dyDescent="0.35">
      <c r="A4" s="28"/>
      <c r="B4" s="28"/>
      <c r="C4" s="28"/>
      <c r="D4" s="28"/>
      <c r="E4" s="28"/>
      <c r="F4" s="28"/>
      <c r="G4" s="28"/>
      <c r="H4" s="222"/>
      <c r="I4" s="26"/>
      <c r="J4" s="26"/>
    </row>
    <row r="5" spans="1:12" s="27" customFormat="1" ht="18" x14ac:dyDescent="0.35">
      <c r="A5" s="28"/>
      <c r="B5" s="28"/>
      <c r="C5" s="28"/>
      <c r="D5" s="28"/>
      <c r="E5" s="28"/>
      <c r="F5" s="28"/>
      <c r="G5" s="28"/>
      <c r="H5" s="222"/>
      <c r="I5" s="26"/>
      <c r="J5" s="26"/>
    </row>
    <row r="6" spans="1:12" s="27" customFormat="1" ht="18" x14ac:dyDescent="0.35">
      <c r="A6" s="28"/>
      <c r="B6" s="28"/>
      <c r="C6" s="28"/>
      <c r="D6" s="28"/>
      <c r="E6" s="28"/>
      <c r="F6" s="28"/>
      <c r="G6" s="28"/>
      <c r="H6" s="222"/>
      <c r="I6" s="26"/>
      <c r="J6" s="26"/>
    </row>
    <row r="7" spans="1:12" s="27" customFormat="1" ht="38.25" customHeight="1" x14ac:dyDescent="0.35">
      <c r="A7" s="262"/>
      <c r="B7" s="262"/>
      <c r="C7" s="262"/>
      <c r="D7" s="262"/>
      <c r="E7" s="262"/>
      <c r="F7" s="262"/>
      <c r="G7" s="262"/>
      <c r="H7" s="262"/>
      <c r="I7" s="262"/>
      <c r="J7" s="262"/>
      <c r="K7" s="262"/>
    </row>
    <row r="8" spans="1:12" ht="32.25" customHeight="1" x14ac:dyDescent="0.35">
      <c r="A8" s="262"/>
      <c r="B8" s="262"/>
      <c r="C8" s="262"/>
      <c r="D8" s="262"/>
      <c r="E8" s="262"/>
      <c r="F8" s="262"/>
      <c r="G8" s="262"/>
      <c r="H8" s="262"/>
      <c r="I8" s="262"/>
      <c r="J8" s="262"/>
      <c r="K8" s="262"/>
    </row>
    <row r="9" spans="1:12" ht="45" customHeight="1" x14ac:dyDescent="0.35">
      <c r="A9" s="263" t="s">
        <v>28</v>
      </c>
      <c r="B9" s="263"/>
      <c r="C9" s="263"/>
      <c r="D9" s="263"/>
      <c r="E9" s="263"/>
      <c r="F9" s="263"/>
      <c r="G9" s="263"/>
      <c r="H9" s="263"/>
      <c r="I9" s="263"/>
      <c r="J9" s="263"/>
      <c r="K9" s="263"/>
    </row>
    <row r="10" spans="1:12" ht="45" customHeight="1" x14ac:dyDescent="0.35">
      <c r="A10" s="263"/>
      <c r="B10" s="263"/>
      <c r="C10" s="263"/>
      <c r="D10" s="263"/>
      <c r="E10" s="263"/>
      <c r="F10" s="263"/>
      <c r="G10" s="263"/>
      <c r="H10" s="263"/>
      <c r="I10" s="263"/>
      <c r="J10" s="263"/>
      <c r="K10" s="263"/>
    </row>
    <row r="11" spans="1:12" ht="51.75" customHeight="1" x14ac:dyDescent="0.35">
      <c r="A11" s="264" t="s">
        <v>16</v>
      </c>
      <c r="B11" s="264"/>
      <c r="C11" s="264"/>
      <c r="D11" s="264"/>
      <c r="E11" s="264"/>
      <c r="F11" s="264"/>
      <c r="G11" s="264"/>
      <c r="H11" s="264"/>
      <c r="I11" s="264"/>
      <c r="J11" s="264"/>
      <c r="K11" s="264"/>
    </row>
    <row r="12" spans="1:12" ht="29.15" customHeight="1" x14ac:dyDescent="0.35">
      <c r="A12" s="264"/>
      <c r="B12" s="264"/>
      <c r="C12" s="264"/>
      <c r="D12" s="264"/>
      <c r="E12" s="264"/>
      <c r="F12" s="264"/>
      <c r="G12" s="264"/>
      <c r="H12" s="264"/>
      <c r="I12" s="264"/>
      <c r="J12" s="264"/>
      <c r="K12" s="264"/>
    </row>
    <row r="13" spans="1:12" ht="60.75" customHeight="1" x14ac:dyDescent="0.35">
      <c r="A13" s="146" t="s">
        <v>0</v>
      </c>
      <c r="B13" s="146" t="s">
        <v>1</v>
      </c>
      <c r="C13" s="147" t="s">
        <v>12</v>
      </c>
      <c r="D13" s="147" t="s">
        <v>13</v>
      </c>
      <c r="E13" s="146" t="s">
        <v>2</v>
      </c>
      <c r="F13" s="148" t="s">
        <v>3</v>
      </c>
      <c r="G13" s="146" t="s">
        <v>4</v>
      </c>
      <c r="H13" s="223" t="s">
        <v>5</v>
      </c>
      <c r="I13" s="150" t="s">
        <v>14</v>
      </c>
      <c r="J13" s="150" t="s">
        <v>10</v>
      </c>
      <c r="K13" s="150" t="s">
        <v>9</v>
      </c>
      <c r="L13" s="153"/>
    </row>
    <row r="14" spans="1:12" ht="50.25" customHeight="1" x14ac:dyDescent="0.35">
      <c r="A14" s="31" t="s">
        <v>96</v>
      </c>
      <c r="B14" s="7" t="s">
        <v>130</v>
      </c>
      <c r="C14" s="32" t="s">
        <v>109</v>
      </c>
      <c r="D14" s="33" t="s">
        <v>64</v>
      </c>
      <c r="E14" s="34" t="s">
        <v>57</v>
      </c>
      <c r="F14" s="35"/>
      <c r="G14" s="34"/>
      <c r="H14" s="224">
        <v>38429.64</v>
      </c>
      <c r="I14" s="7" t="s">
        <v>131</v>
      </c>
      <c r="J14" s="7" t="s">
        <v>132</v>
      </c>
      <c r="K14" s="22" t="s">
        <v>25</v>
      </c>
    </row>
    <row r="15" spans="1:12" ht="50.25" customHeight="1" x14ac:dyDescent="0.35">
      <c r="A15" s="31" t="s">
        <v>217</v>
      </c>
      <c r="B15" s="7" t="s">
        <v>235</v>
      </c>
      <c r="C15" s="32" t="s">
        <v>236</v>
      </c>
      <c r="D15" s="33" t="s">
        <v>237</v>
      </c>
      <c r="E15" s="34" t="s">
        <v>57</v>
      </c>
      <c r="F15" s="35"/>
      <c r="G15" s="34"/>
      <c r="H15" s="224">
        <f>48934.5+357441.3</f>
        <v>406375.8</v>
      </c>
      <c r="I15" s="7" t="s">
        <v>131</v>
      </c>
      <c r="J15" s="7" t="s">
        <v>238</v>
      </c>
      <c r="K15" s="22" t="s">
        <v>239</v>
      </c>
    </row>
    <row r="16" spans="1:12" ht="50.25" customHeight="1" x14ac:dyDescent="0.35">
      <c r="A16" s="31" t="s">
        <v>264</v>
      </c>
      <c r="B16" s="7" t="s">
        <v>293</v>
      </c>
      <c r="C16" s="32" t="s">
        <v>55</v>
      </c>
      <c r="D16" s="33" t="s">
        <v>56</v>
      </c>
      <c r="E16" s="34" t="s">
        <v>57</v>
      </c>
      <c r="F16" s="35"/>
      <c r="G16" s="34"/>
      <c r="H16" s="224">
        <v>93450.76</v>
      </c>
      <c r="I16" s="7" t="s">
        <v>131</v>
      </c>
      <c r="J16" s="7" t="s">
        <v>294</v>
      </c>
      <c r="K16" s="22" t="s">
        <v>295</v>
      </c>
    </row>
    <row r="17" spans="1:11" ht="52.5" x14ac:dyDescent="0.35">
      <c r="A17" s="31" t="s">
        <v>424</v>
      </c>
      <c r="B17" s="7" t="s">
        <v>446</v>
      </c>
      <c r="C17" s="32" t="s">
        <v>447</v>
      </c>
      <c r="D17" s="33" t="s">
        <v>448</v>
      </c>
      <c r="E17" s="34"/>
      <c r="F17" s="35"/>
      <c r="G17" s="34"/>
      <c r="H17" s="224">
        <f>13986.21+181349.98</f>
        <v>195336.19</v>
      </c>
      <c r="I17" s="7" t="s">
        <v>449</v>
      </c>
      <c r="J17" s="7" t="s">
        <v>714</v>
      </c>
      <c r="K17" s="22" t="s">
        <v>295</v>
      </c>
    </row>
    <row r="18" spans="1:11" ht="70" x14ac:dyDescent="0.35">
      <c r="A18" s="31" t="s">
        <v>425</v>
      </c>
      <c r="B18" s="7" t="s">
        <v>450</v>
      </c>
      <c r="C18" s="32" t="s">
        <v>452</v>
      </c>
      <c r="D18" s="33" t="s">
        <v>453</v>
      </c>
      <c r="E18" s="34" t="s">
        <v>57</v>
      </c>
      <c r="F18" s="35"/>
      <c r="G18" s="34"/>
      <c r="H18" s="224">
        <f>146803.5+71569.2*2+30473.2+3230.9+33704.1</f>
        <v>357350.10000000003</v>
      </c>
      <c r="I18" s="7" t="s">
        <v>449</v>
      </c>
      <c r="J18" s="7" t="s">
        <v>715</v>
      </c>
      <c r="K18" s="22" t="s">
        <v>451</v>
      </c>
    </row>
    <row r="19" spans="1:11" ht="35" x14ac:dyDescent="0.35">
      <c r="A19" s="31" t="s">
        <v>493</v>
      </c>
      <c r="B19" s="7" t="s">
        <v>521</v>
      </c>
      <c r="C19" s="32" t="s">
        <v>522</v>
      </c>
      <c r="D19" s="33" t="s">
        <v>523</v>
      </c>
      <c r="E19" s="34" t="s">
        <v>57</v>
      </c>
      <c r="F19" s="35"/>
      <c r="G19" s="34"/>
      <c r="H19" s="224">
        <v>932725.2</v>
      </c>
      <c r="I19" s="7" t="s">
        <v>449</v>
      </c>
      <c r="J19" s="7" t="s">
        <v>524</v>
      </c>
      <c r="K19" s="22" t="s">
        <v>525</v>
      </c>
    </row>
    <row r="20" spans="1:11" ht="35" x14ac:dyDescent="0.35">
      <c r="A20" s="31" t="s">
        <v>494</v>
      </c>
      <c r="B20" s="7" t="s">
        <v>508</v>
      </c>
      <c r="C20" s="32" t="s">
        <v>509</v>
      </c>
      <c r="D20" s="33" t="s">
        <v>510</v>
      </c>
      <c r="E20" s="34" t="s">
        <v>511</v>
      </c>
      <c r="F20" s="35"/>
      <c r="G20" s="34"/>
      <c r="H20" s="224">
        <f>10729.88+17509.38+23844.04+36940.79+10000</f>
        <v>99024.09</v>
      </c>
      <c r="I20" s="7" t="s">
        <v>449</v>
      </c>
      <c r="J20" s="7" t="s">
        <v>508</v>
      </c>
      <c r="K20" s="22" t="s">
        <v>512</v>
      </c>
    </row>
    <row r="21" spans="1:11" ht="70" x14ac:dyDescent="0.35">
      <c r="A21" s="31" t="s">
        <v>559</v>
      </c>
      <c r="B21" s="7" t="s">
        <v>567</v>
      </c>
      <c r="C21" s="32" t="s">
        <v>55</v>
      </c>
      <c r="D21" s="33" t="s">
        <v>56</v>
      </c>
      <c r="E21" s="34" t="s">
        <v>57</v>
      </c>
      <c r="F21" s="35"/>
      <c r="G21" s="34"/>
      <c r="H21" s="224">
        <f>40921.9+272+550.49</f>
        <v>41744.39</v>
      </c>
      <c r="I21" s="7" t="s">
        <v>449</v>
      </c>
      <c r="J21" s="7" t="s">
        <v>567</v>
      </c>
      <c r="K21" s="22" t="s">
        <v>295</v>
      </c>
    </row>
    <row r="22" spans="1:11" ht="35" x14ac:dyDescent="0.35">
      <c r="A22" s="31" t="s">
        <v>316</v>
      </c>
      <c r="B22" s="7" t="s">
        <v>628</v>
      </c>
      <c r="C22" s="32" t="s">
        <v>55</v>
      </c>
      <c r="D22" s="33" t="s">
        <v>56</v>
      </c>
      <c r="E22" s="34" t="s">
        <v>57</v>
      </c>
      <c r="F22" s="35"/>
      <c r="G22" s="34"/>
      <c r="H22" s="224">
        <v>291966.61</v>
      </c>
      <c r="I22" s="7" t="s">
        <v>449</v>
      </c>
      <c r="J22" s="7" t="s">
        <v>628</v>
      </c>
      <c r="K22" s="22"/>
    </row>
    <row r="23" spans="1:11" s="39" customFormat="1" ht="46.5" customHeight="1" x14ac:dyDescent="0.35">
      <c r="A23" s="37" t="s">
        <v>6</v>
      </c>
      <c r="B23" s="2"/>
      <c r="C23" s="2"/>
      <c r="D23" s="2"/>
      <c r="E23" s="9"/>
      <c r="F23" s="1"/>
      <c r="G23" s="9"/>
      <c r="H23" s="225">
        <f>SUM(H14:H22)</f>
        <v>2456402.7799999998</v>
      </c>
      <c r="I23" s="11"/>
      <c r="J23" s="11"/>
      <c r="K23" s="11"/>
    </row>
    <row r="24" spans="1:11" s="39" customFormat="1" ht="63.75" customHeight="1" x14ac:dyDescent="0.35">
      <c r="A24" s="268"/>
      <c r="B24" s="268"/>
      <c r="C24" s="268"/>
      <c r="D24" s="268"/>
      <c r="E24" s="268"/>
      <c r="F24" s="268"/>
      <c r="G24" s="268"/>
      <c r="H24" s="268"/>
      <c r="I24" s="268"/>
      <c r="J24" s="268"/>
      <c r="K24" s="268"/>
    </row>
    <row r="25" spans="1:11" s="39" customFormat="1" ht="51.75" customHeight="1" x14ac:dyDescent="0.35">
      <c r="A25" s="270" t="s">
        <v>26</v>
      </c>
      <c r="B25" s="270"/>
      <c r="C25" s="270"/>
      <c r="D25" s="270"/>
      <c r="E25" s="270"/>
      <c r="F25" s="270"/>
      <c r="G25" s="270"/>
      <c r="H25" s="270"/>
      <c r="I25" s="270"/>
      <c r="J25" s="270"/>
      <c r="K25" s="270"/>
    </row>
    <row r="26" spans="1:11" s="39" customFormat="1" ht="47.25" customHeight="1" x14ac:dyDescent="0.35">
      <c r="A26" s="151" t="s">
        <v>0</v>
      </c>
      <c r="B26" s="151" t="s">
        <v>1</v>
      </c>
      <c r="C26" s="150" t="s">
        <v>12</v>
      </c>
      <c r="D26" s="150" t="s">
        <v>13</v>
      </c>
      <c r="E26" s="151" t="s">
        <v>2</v>
      </c>
      <c r="F26" s="152" t="s">
        <v>3</v>
      </c>
      <c r="G26" s="151" t="s">
        <v>4</v>
      </c>
      <c r="H26" s="225" t="s">
        <v>7</v>
      </c>
      <c r="I26" s="150" t="s">
        <v>14</v>
      </c>
      <c r="J26" s="150" t="s">
        <v>10</v>
      </c>
      <c r="K26" s="150" t="s">
        <v>9</v>
      </c>
    </row>
    <row r="27" spans="1:11" s="36" customFormat="1" ht="47.25" customHeight="1" x14ac:dyDescent="0.35">
      <c r="A27" s="48"/>
      <c r="B27" s="48"/>
      <c r="C27" s="190"/>
      <c r="D27" s="190"/>
      <c r="E27" s="48"/>
      <c r="F27" s="49"/>
      <c r="G27" s="48"/>
      <c r="H27" s="226">
        <v>0</v>
      </c>
      <c r="I27" s="190"/>
      <c r="J27" s="190"/>
      <c r="K27" s="190"/>
    </row>
    <row r="28" spans="1:11" s="39" customFormat="1" ht="51" customHeight="1" x14ac:dyDescent="0.35">
      <c r="A28" s="18"/>
      <c r="B28" s="24"/>
      <c r="C28" s="77"/>
      <c r="D28" s="77"/>
      <c r="E28" s="25"/>
      <c r="F28" s="70"/>
      <c r="G28" s="6"/>
      <c r="H28" s="221"/>
      <c r="I28" s="2"/>
      <c r="J28" s="11"/>
      <c r="K28" s="11"/>
    </row>
    <row r="29" spans="1:11" s="39" customFormat="1" ht="45" customHeight="1" x14ac:dyDescent="0.35">
      <c r="A29" s="44" t="s">
        <v>6</v>
      </c>
      <c r="B29" s="11"/>
      <c r="C29" s="11"/>
      <c r="D29" s="11"/>
      <c r="E29" s="5"/>
      <c r="F29" s="45"/>
      <c r="G29" s="45"/>
      <c r="H29" s="225">
        <f>SUM(H27:H28)</f>
        <v>0</v>
      </c>
      <c r="I29" s="11"/>
      <c r="J29" s="11"/>
      <c r="K29" s="30"/>
    </row>
    <row r="30" spans="1:11" s="39" customFormat="1" ht="39.75" customHeight="1" x14ac:dyDescent="0.35">
      <c r="A30" s="272"/>
      <c r="B30" s="272"/>
      <c r="C30" s="272"/>
      <c r="D30" s="272"/>
      <c r="E30" s="272"/>
      <c r="F30" s="272"/>
      <c r="G30" s="272"/>
      <c r="H30" s="272"/>
      <c r="I30" s="272"/>
      <c r="J30" s="272"/>
      <c r="K30" s="272"/>
    </row>
    <row r="31" spans="1:11" s="39" customFormat="1" ht="53.25" customHeight="1" x14ac:dyDescent="0.35">
      <c r="A31" s="268" t="s">
        <v>27</v>
      </c>
      <c r="B31" s="268"/>
      <c r="C31" s="268"/>
      <c r="D31" s="268"/>
      <c r="E31" s="268"/>
      <c r="F31" s="268"/>
      <c r="G31" s="268"/>
      <c r="H31" s="268"/>
      <c r="I31" s="268"/>
      <c r="J31" s="268"/>
      <c r="K31" s="268"/>
    </row>
    <row r="32" spans="1:11" s="39" customFormat="1" ht="51" customHeight="1" x14ac:dyDescent="0.35">
      <c r="A32" s="151" t="s">
        <v>0</v>
      </c>
      <c r="B32" s="151" t="s">
        <v>1</v>
      </c>
      <c r="C32" s="150" t="s">
        <v>12</v>
      </c>
      <c r="D32" s="150" t="s">
        <v>13</v>
      </c>
      <c r="E32" s="151" t="s">
        <v>2</v>
      </c>
      <c r="F32" s="152" t="s">
        <v>3</v>
      </c>
      <c r="G32" s="151" t="s">
        <v>4</v>
      </c>
      <c r="H32" s="225" t="s">
        <v>7</v>
      </c>
      <c r="I32" s="150" t="s">
        <v>14</v>
      </c>
      <c r="J32" s="150" t="s">
        <v>10</v>
      </c>
      <c r="K32" s="150" t="s">
        <v>9</v>
      </c>
    </row>
    <row r="33" spans="1:11" s="39" customFormat="1" ht="51" customHeight="1" x14ac:dyDescent="0.35">
      <c r="A33" s="18" t="s">
        <v>213</v>
      </c>
      <c r="B33" s="7" t="s">
        <v>249</v>
      </c>
      <c r="C33" s="81" t="s">
        <v>55</v>
      </c>
      <c r="D33" s="81" t="s">
        <v>56</v>
      </c>
      <c r="E33" s="25" t="s">
        <v>250</v>
      </c>
      <c r="F33" s="6"/>
      <c r="G33" s="6"/>
      <c r="H33" s="227">
        <f>111375+86625</f>
        <v>198000</v>
      </c>
      <c r="I33" s="79" t="s">
        <v>251</v>
      </c>
      <c r="J33" s="7" t="s">
        <v>252</v>
      </c>
      <c r="K33" s="7" t="s">
        <v>25</v>
      </c>
    </row>
    <row r="34" spans="1:11" s="39" customFormat="1" ht="51" customHeight="1" x14ac:dyDescent="0.35">
      <c r="A34" s="18" t="s">
        <v>214</v>
      </c>
      <c r="B34" s="7" t="s">
        <v>257</v>
      </c>
      <c r="C34" s="81" t="s">
        <v>55</v>
      </c>
      <c r="D34" s="81" t="s">
        <v>56</v>
      </c>
      <c r="E34" s="25" t="s">
        <v>250</v>
      </c>
      <c r="F34" s="253"/>
      <c r="G34" s="253"/>
      <c r="H34" s="227">
        <f>184450.01+214600+183500+959999.47</f>
        <v>1542549.48</v>
      </c>
      <c r="I34" s="79" t="s">
        <v>251</v>
      </c>
      <c r="J34" s="7" t="s">
        <v>257</v>
      </c>
      <c r="K34" s="7" t="s">
        <v>258</v>
      </c>
    </row>
    <row r="35" spans="1:11" s="39" customFormat="1" ht="51" customHeight="1" x14ac:dyDescent="0.35">
      <c r="A35" s="18" t="s">
        <v>315</v>
      </c>
      <c r="B35" s="7" t="s">
        <v>337</v>
      </c>
      <c r="C35" s="81" t="s">
        <v>55</v>
      </c>
      <c r="D35" s="81" t="s">
        <v>56</v>
      </c>
      <c r="E35" s="25" t="s">
        <v>250</v>
      </c>
      <c r="F35" s="253"/>
      <c r="G35" s="253"/>
      <c r="H35" s="227">
        <f>4664.9+18677.76+1427.3</f>
        <v>24769.959999999995</v>
      </c>
      <c r="I35" s="79" t="s">
        <v>251</v>
      </c>
      <c r="J35" s="7" t="s">
        <v>337</v>
      </c>
      <c r="K35" s="7" t="s">
        <v>338</v>
      </c>
    </row>
    <row r="36" spans="1:11" s="47" customFormat="1" ht="51" customHeight="1" x14ac:dyDescent="0.35">
      <c r="A36" s="46" t="s">
        <v>6</v>
      </c>
      <c r="B36" s="30"/>
      <c r="C36" s="30"/>
      <c r="D36" s="30"/>
      <c r="E36" s="41"/>
      <c r="F36" s="46"/>
      <c r="G36" s="41"/>
      <c r="H36" s="228">
        <f>SUM(H33:H35)</f>
        <v>1765319.44</v>
      </c>
      <c r="I36" s="11"/>
      <c r="J36" s="11"/>
      <c r="K36" s="11"/>
    </row>
    <row r="37" spans="1:11" s="47" customFormat="1" ht="32.25" customHeight="1" x14ac:dyDescent="0.35">
      <c r="A37" s="268"/>
      <c r="B37" s="268"/>
      <c r="C37" s="268"/>
      <c r="D37" s="268"/>
      <c r="E37" s="268"/>
      <c r="F37" s="268"/>
      <c r="G37" s="268"/>
      <c r="H37" s="268"/>
      <c r="I37" s="268"/>
      <c r="J37" s="268"/>
      <c r="K37" s="268"/>
    </row>
    <row r="38" spans="1:11" s="39" customFormat="1" ht="41.25" customHeight="1" x14ac:dyDescent="0.35">
      <c r="A38" s="262" t="s">
        <v>17</v>
      </c>
      <c r="B38" s="262"/>
      <c r="C38" s="262"/>
      <c r="D38" s="262"/>
      <c r="E38" s="262"/>
      <c r="F38" s="262"/>
      <c r="G38" s="262"/>
      <c r="H38" s="262"/>
      <c r="I38" s="262"/>
      <c r="J38" s="262"/>
      <c r="K38" s="262"/>
    </row>
    <row r="39" spans="1:11" s="39" customFormat="1" ht="44.25" customHeight="1" x14ac:dyDescent="0.35">
      <c r="A39" s="151" t="s">
        <v>0</v>
      </c>
      <c r="B39" s="151" t="s">
        <v>1</v>
      </c>
      <c r="C39" s="150" t="s">
        <v>12</v>
      </c>
      <c r="D39" s="150" t="s">
        <v>13</v>
      </c>
      <c r="E39" s="151" t="s">
        <v>2</v>
      </c>
      <c r="F39" s="152" t="s">
        <v>3</v>
      </c>
      <c r="G39" s="151" t="s">
        <v>4</v>
      </c>
      <c r="H39" s="225" t="s">
        <v>7</v>
      </c>
      <c r="I39" s="150" t="s">
        <v>14</v>
      </c>
      <c r="J39" s="150" t="s">
        <v>10</v>
      </c>
      <c r="K39" s="150" t="s">
        <v>9</v>
      </c>
    </row>
    <row r="40" spans="1:11" s="39" customFormat="1" ht="43.5" customHeight="1" x14ac:dyDescent="0.35">
      <c r="A40" s="31" t="s">
        <v>62</v>
      </c>
      <c r="B40" s="2" t="s">
        <v>693</v>
      </c>
      <c r="C40" s="32" t="s">
        <v>55</v>
      </c>
      <c r="D40" s="33" t="s">
        <v>56</v>
      </c>
      <c r="E40" s="34" t="s">
        <v>57</v>
      </c>
      <c r="F40" s="6"/>
      <c r="G40" s="6"/>
      <c r="H40" s="221">
        <f>72000+3070003.03+49500+35340+120042+73188+87906.97+8977.5+2400+18187.5+4756.14+80438.4+2500+627867.54+31464+7500+212040+12825+10260+129960+58240.32+2592.57+29925+39900+131670+86526+150480+89535.6+114604.2+21075.75+188100+322591.5</f>
        <v>5892397.0200000005</v>
      </c>
      <c r="I40" s="7" t="s">
        <v>63</v>
      </c>
      <c r="J40" s="7" t="s">
        <v>52</v>
      </c>
      <c r="K40" s="19" t="s">
        <v>66</v>
      </c>
    </row>
    <row r="41" spans="1:11" s="39" customFormat="1" ht="52.5" x14ac:dyDescent="0.35">
      <c r="A41" s="31" t="s">
        <v>212</v>
      </c>
      <c r="B41" s="2" t="s">
        <v>234</v>
      </c>
      <c r="C41" s="32" t="s">
        <v>55</v>
      </c>
      <c r="D41" s="33" t="s">
        <v>56</v>
      </c>
      <c r="E41" s="34" t="s">
        <v>57</v>
      </c>
      <c r="F41" s="253"/>
      <c r="G41" s="253"/>
      <c r="H41" s="221">
        <v>478800</v>
      </c>
      <c r="I41" s="7" t="s">
        <v>63</v>
      </c>
      <c r="J41" s="7" t="s">
        <v>716</v>
      </c>
      <c r="K41" s="19" t="s">
        <v>66</v>
      </c>
    </row>
    <row r="42" spans="1:11" s="39" customFormat="1" ht="52.5" customHeight="1" x14ac:dyDescent="0.35">
      <c r="A42" s="46" t="s">
        <v>6</v>
      </c>
      <c r="B42" s="11"/>
      <c r="C42" s="11"/>
      <c r="D42" s="11"/>
      <c r="E42" s="5"/>
      <c r="F42" s="19"/>
      <c r="G42" s="5"/>
      <c r="H42" s="225">
        <f>SUM(H40:H41)</f>
        <v>6371197.0200000005</v>
      </c>
      <c r="I42" s="11"/>
      <c r="J42" s="11"/>
      <c r="K42" s="11"/>
    </row>
    <row r="43" spans="1:11" s="23" customFormat="1" ht="42.75" customHeight="1" x14ac:dyDescent="0.35">
      <c r="A43" s="268"/>
      <c r="B43" s="268"/>
      <c r="C43" s="268"/>
      <c r="D43" s="268"/>
      <c r="E43" s="268"/>
      <c r="F43" s="268"/>
      <c r="G43" s="268"/>
      <c r="H43" s="268"/>
      <c r="I43" s="268"/>
      <c r="J43" s="268"/>
      <c r="K43" s="268"/>
    </row>
    <row r="44" spans="1:11" s="39" customFormat="1" ht="42.75" customHeight="1" x14ac:dyDescent="0.35">
      <c r="A44" s="264" t="s">
        <v>18</v>
      </c>
      <c r="B44" s="264"/>
      <c r="C44" s="264"/>
      <c r="D44" s="264"/>
      <c r="E44" s="264"/>
      <c r="F44" s="264"/>
      <c r="G44" s="264"/>
      <c r="H44" s="264"/>
      <c r="I44" s="264"/>
      <c r="J44" s="264"/>
      <c r="K44" s="264"/>
    </row>
    <row r="45" spans="1:11" s="39" customFormat="1" ht="47.25" customHeight="1" x14ac:dyDescent="0.35">
      <c r="A45" s="151" t="s">
        <v>0</v>
      </c>
      <c r="B45" s="151" t="s">
        <v>1</v>
      </c>
      <c r="C45" s="150" t="s">
        <v>12</v>
      </c>
      <c r="D45" s="150" t="s">
        <v>13</v>
      </c>
      <c r="E45" s="151" t="s">
        <v>2</v>
      </c>
      <c r="F45" s="152" t="s">
        <v>3</v>
      </c>
      <c r="G45" s="151" t="s">
        <v>4</v>
      </c>
      <c r="H45" s="225" t="s">
        <v>7</v>
      </c>
      <c r="I45" s="150" t="s">
        <v>14</v>
      </c>
      <c r="J45" s="150" t="s">
        <v>10</v>
      </c>
      <c r="K45" s="150" t="s">
        <v>9</v>
      </c>
    </row>
    <row r="46" spans="1:11" s="39" customFormat="1" ht="48.75" customHeight="1" x14ac:dyDescent="0.35">
      <c r="A46" s="24" t="s">
        <v>53</v>
      </c>
      <c r="B46" s="24" t="s">
        <v>54</v>
      </c>
      <c r="C46" s="32" t="s">
        <v>55</v>
      </c>
      <c r="D46" s="81" t="s">
        <v>103</v>
      </c>
      <c r="E46" s="25" t="s">
        <v>57</v>
      </c>
      <c r="F46" s="6"/>
      <c r="G46" s="6"/>
      <c r="H46" s="227">
        <f>964+2835.75+1040-266</f>
        <v>4573.75</v>
      </c>
      <c r="I46" s="7" t="s">
        <v>52</v>
      </c>
      <c r="J46" s="2" t="s">
        <v>54</v>
      </c>
      <c r="K46" s="7"/>
    </row>
    <row r="47" spans="1:11" s="39" customFormat="1" ht="70.5" customHeight="1" x14ac:dyDescent="0.35">
      <c r="A47" s="24" t="s">
        <v>104</v>
      </c>
      <c r="B47" s="7" t="s">
        <v>133</v>
      </c>
      <c r="C47" s="32" t="s">
        <v>55</v>
      </c>
      <c r="D47" s="33" t="s">
        <v>56</v>
      </c>
      <c r="E47" s="34" t="s">
        <v>57</v>
      </c>
      <c r="F47" s="6"/>
      <c r="G47" s="6"/>
      <c r="H47" s="227">
        <f>6205.78+630.42+1898.1</f>
        <v>8734.2999999999993</v>
      </c>
      <c r="I47" s="7" t="s">
        <v>438</v>
      </c>
      <c r="J47" s="7" t="s">
        <v>134</v>
      </c>
      <c r="K47" s="7" t="s">
        <v>135</v>
      </c>
    </row>
    <row r="48" spans="1:11" s="39" customFormat="1" ht="52.5" x14ac:dyDescent="0.35">
      <c r="A48" s="24" t="s">
        <v>273</v>
      </c>
      <c r="B48" s="11" t="s">
        <v>285</v>
      </c>
      <c r="C48" s="32" t="s">
        <v>123</v>
      </c>
      <c r="D48" s="81"/>
      <c r="E48" s="25"/>
      <c r="F48" s="6"/>
      <c r="G48" s="6"/>
      <c r="H48" s="227">
        <v>134730</v>
      </c>
      <c r="I48" s="7" t="s">
        <v>286</v>
      </c>
      <c r="J48" s="2" t="s">
        <v>287</v>
      </c>
      <c r="K48" s="7" t="s">
        <v>258</v>
      </c>
    </row>
    <row r="49" spans="1:11" s="39" customFormat="1" x14ac:dyDescent="0.35">
      <c r="A49" s="24" t="s">
        <v>600</v>
      </c>
      <c r="B49" s="11" t="s">
        <v>642</v>
      </c>
      <c r="C49" s="32" t="s">
        <v>123</v>
      </c>
      <c r="D49" s="81"/>
      <c r="E49" s="25"/>
      <c r="F49" s="253"/>
      <c r="G49" s="253"/>
      <c r="H49" s="227">
        <v>7845.82</v>
      </c>
      <c r="I49" s="7" t="s">
        <v>232</v>
      </c>
      <c r="J49" s="2" t="s">
        <v>717</v>
      </c>
      <c r="K49" s="7" t="s">
        <v>643</v>
      </c>
    </row>
    <row r="50" spans="1:11" s="39" customFormat="1" x14ac:dyDescent="0.35">
      <c r="A50" s="24" t="s">
        <v>601</v>
      </c>
      <c r="B50" s="7" t="s">
        <v>178</v>
      </c>
      <c r="C50" s="32" t="s">
        <v>50</v>
      </c>
      <c r="D50" s="81"/>
      <c r="E50" s="25"/>
      <c r="F50" s="253"/>
      <c r="G50" s="253"/>
      <c r="H50" s="227">
        <v>1167.3599999999999</v>
      </c>
      <c r="I50" s="7" t="s">
        <v>232</v>
      </c>
      <c r="J50" s="2" t="s">
        <v>602</v>
      </c>
      <c r="K50" s="7"/>
    </row>
    <row r="51" spans="1:11" ht="48.75" customHeight="1" x14ac:dyDescent="0.35">
      <c r="A51" s="54" t="s">
        <v>6</v>
      </c>
      <c r="B51" s="11"/>
      <c r="C51" s="11"/>
      <c r="D51" s="11"/>
      <c r="E51" s="5"/>
      <c r="F51" s="45"/>
      <c r="G51" s="45"/>
      <c r="H51" s="225">
        <f>SUM(H46:H47:H50)</f>
        <v>157051.22999999998</v>
      </c>
      <c r="I51" s="11"/>
      <c r="J51" s="11"/>
      <c r="K51" s="30"/>
    </row>
    <row r="52" spans="1:11" ht="39.75" customHeight="1" x14ac:dyDescent="0.35">
      <c r="A52" s="269"/>
      <c r="B52" s="269"/>
      <c r="C52" s="269"/>
      <c r="D52" s="269"/>
      <c r="E52" s="269"/>
      <c r="F52" s="269"/>
      <c r="G52" s="269"/>
      <c r="H52" s="269"/>
      <c r="I52" s="269"/>
      <c r="J52" s="269"/>
      <c r="K52" s="269"/>
    </row>
    <row r="53" spans="1:11" ht="39.75" customHeight="1" x14ac:dyDescent="0.35">
      <c r="A53" s="264" t="s">
        <v>19</v>
      </c>
      <c r="B53" s="264"/>
      <c r="C53" s="264"/>
      <c r="D53" s="264"/>
      <c r="E53" s="264"/>
      <c r="F53" s="264"/>
      <c r="G53" s="264"/>
      <c r="H53" s="264"/>
      <c r="I53" s="264"/>
      <c r="J53" s="264"/>
      <c r="K53" s="264"/>
    </row>
    <row r="54" spans="1:11" ht="39.75" customHeight="1" x14ac:dyDescent="0.35">
      <c r="A54" s="151" t="s">
        <v>0</v>
      </c>
      <c r="B54" s="151" t="s">
        <v>1</v>
      </c>
      <c r="C54" s="150" t="s">
        <v>12</v>
      </c>
      <c r="D54" s="150" t="s">
        <v>13</v>
      </c>
      <c r="E54" s="151" t="s">
        <v>2</v>
      </c>
      <c r="F54" s="152" t="s">
        <v>3</v>
      </c>
      <c r="G54" s="151" t="s">
        <v>4</v>
      </c>
      <c r="H54" s="225" t="s">
        <v>7</v>
      </c>
      <c r="I54" s="150" t="s">
        <v>14</v>
      </c>
      <c r="J54" s="150" t="s">
        <v>10</v>
      </c>
      <c r="K54" s="150" t="s">
        <v>9</v>
      </c>
    </row>
    <row r="55" spans="1:11" ht="39.75" customHeight="1" x14ac:dyDescent="0.35">
      <c r="A55" s="86" t="s">
        <v>316</v>
      </c>
      <c r="B55" s="8" t="s">
        <v>317</v>
      </c>
      <c r="C55" s="43" t="s">
        <v>50</v>
      </c>
      <c r="D55" s="43"/>
      <c r="E55" s="9"/>
      <c r="F55" s="68"/>
      <c r="G55" s="10"/>
      <c r="H55" s="229">
        <v>2629.5</v>
      </c>
      <c r="I55" s="8" t="s">
        <v>52</v>
      </c>
      <c r="J55" s="2" t="s">
        <v>317</v>
      </c>
      <c r="K55" s="2"/>
    </row>
    <row r="56" spans="1:11" ht="39.75" customHeight="1" x14ac:dyDescent="0.35">
      <c r="A56" s="54"/>
      <c r="B56" s="4"/>
      <c r="C56" s="4"/>
      <c r="D56" s="4"/>
      <c r="E56" s="5"/>
      <c r="F56" s="19"/>
      <c r="G56" s="5"/>
      <c r="H56" s="229">
        <v>0</v>
      </c>
      <c r="I56" s="11"/>
      <c r="J56" s="11"/>
      <c r="K56" s="19"/>
    </row>
    <row r="57" spans="1:11" ht="44.25" customHeight="1" x14ac:dyDescent="0.35">
      <c r="A57" s="8"/>
      <c r="B57" s="8"/>
      <c r="C57" s="43"/>
      <c r="D57" s="43"/>
      <c r="E57" s="2"/>
      <c r="F57" s="87"/>
      <c r="G57" s="87"/>
      <c r="H57" s="221"/>
      <c r="I57" s="2"/>
      <c r="J57" s="2"/>
      <c r="K57" s="2"/>
    </row>
    <row r="58" spans="1:11" ht="44.25" customHeight="1" x14ac:dyDescent="0.35">
      <c r="A58" s="54" t="s">
        <v>6</v>
      </c>
      <c r="B58" s="4"/>
      <c r="C58" s="4"/>
      <c r="D58" s="4"/>
      <c r="E58" s="5"/>
      <c r="F58" s="19"/>
      <c r="G58" s="5"/>
      <c r="H58" s="225">
        <f>SUM(H55:H57)</f>
        <v>2629.5</v>
      </c>
      <c r="I58" s="11"/>
      <c r="J58" s="11"/>
      <c r="K58" s="19"/>
    </row>
    <row r="59" spans="1:11" ht="44.25" customHeight="1" x14ac:dyDescent="0.35">
      <c r="A59" s="122"/>
      <c r="B59" s="114"/>
      <c r="C59" s="114"/>
      <c r="D59" s="114"/>
      <c r="E59" s="188"/>
      <c r="F59" s="51"/>
      <c r="G59" s="188"/>
      <c r="H59" s="230"/>
      <c r="I59" s="40"/>
      <c r="J59" s="40"/>
      <c r="K59" s="51"/>
    </row>
    <row r="60" spans="1:11" s="200" customFormat="1" ht="60.75" customHeight="1" x14ac:dyDescent="0.35">
      <c r="A60" s="189" t="s">
        <v>8</v>
      </c>
      <c r="B60" s="195"/>
      <c r="C60" s="195"/>
      <c r="D60" s="195"/>
      <c r="E60" s="196"/>
      <c r="F60" s="197"/>
      <c r="G60" s="196"/>
      <c r="H60" s="231">
        <f>+H58+H51+H42+H36+H29+H23</f>
        <v>10752599.969999999</v>
      </c>
      <c r="I60" s="198"/>
      <c r="J60" s="198"/>
      <c r="K60" s="199"/>
    </row>
    <row r="61" spans="1:11" ht="44.25" customHeight="1" x14ac:dyDescent="0.35">
      <c r="A61" s="266"/>
      <c r="B61" s="267"/>
      <c r="C61" s="267"/>
      <c r="D61" s="267"/>
      <c r="E61" s="267"/>
      <c r="F61" s="267"/>
      <c r="G61" s="267"/>
      <c r="H61" s="267"/>
    </row>
  </sheetData>
  <mergeCells count="18">
    <mergeCell ref="A1:H1"/>
    <mergeCell ref="A7:K7"/>
    <mergeCell ref="A8:K8"/>
    <mergeCell ref="A9:K9"/>
    <mergeCell ref="A12:K12"/>
    <mergeCell ref="A10:K10"/>
    <mergeCell ref="A61:H61"/>
    <mergeCell ref="A30:K30"/>
    <mergeCell ref="A11:K11"/>
    <mergeCell ref="A24:K24"/>
    <mergeCell ref="A25:K25"/>
    <mergeCell ref="A38:K38"/>
    <mergeCell ref="A37:K37"/>
    <mergeCell ref="A43:K43"/>
    <mergeCell ref="A44:K44"/>
    <mergeCell ref="A52:K52"/>
    <mergeCell ref="A53:K53"/>
    <mergeCell ref="A31:K31"/>
  </mergeCells>
  <pageMargins left="0.7" right="0.7" top="0.75" bottom="0.75" header="0.3" footer="0.3"/>
  <pageSetup paperSize="8" scale="54" orientation="landscape" r:id="rId1"/>
  <rowBreaks count="2" manualBreakCount="2">
    <brk id="24" max="16383" man="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view="pageBreakPreview" zoomScale="60" zoomScaleNormal="70" workbookViewId="0">
      <selection activeCell="J1" sqref="J1"/>
    </sheetView>
  </sheetViews>
  <sheetFormatPr defaultColWidth="9.1796875" defaultRowHeight="17.5" x14ac:dyDescent="0.35"/>
  <cols>
    <col min="1" max="1" width="46.453125" style="29" customWidth="1"/>
    <col min="2" max="2" width="51.81640625" style="61" customWidth="1"/>
    <col min="3" max="3" width="14.81640625" style="61" customWidth="1"/>
    <col min="4" max="4" width="14.26953125" style="61" customWidth="1"/>
    <col min="5" max="5" width="16.81640625" style="60" customWidth="1"/>
    <col min="6" max="6" width="13.1796875" style="29" customWidth="1"/>
    <col min="7" max="7" width="12.81640625" style="60" customWidth="1"/>
    <col min="8" max="8" width="28.54296875" style="89" customWidth="1"/>
    <col min="9" max="9" width="39.7265625" style="61" customWidth="1"/>
    <col min="10" max="10" width="72.54296875" style="61" customWidth="1"/>
    <col min="11" max="11" width="21.1796875" style="29" customWidth="1"/>
    <col min="12" max="16384" width="9.1796875" style="29"/>
  </cols>
  <sheetData>
    <row r="1" spans="1:11" s="27" customFormat="1" ht="18" x14ac:dyDescent="0.35">
      <c r="A1" s="262"/>
      <c r="B1" s="262"/>
      <c r="C1" s="262"/>
      <c r="D1" s="262"/>
      <c r="E1" s="262"/>
      <c r="F1" s="262"/>
      <c r="G1" s="262"/>
      <c r="H1" s="262"/>
      <c r="I1" s="26"/>
      <c r="J1" s="26"/>
    </row>
    <row r="2" spans="1:11" s="27" customFormat="1" ht="18" x14ac:dyDescent="0.35">
      <c r="A2" s="28"/>
      <c r="B2" s="28"/>
      <c r="C2" s="28"/>
      <c r="D2" s="28"/>
      <c r="E2" s="28"/>
      <c r="F2" s="28"/>
      <c r="G2" s="28"/>
      <c r="H2" s="28"/>
      <c r="I2" s="26"/>
      <c r="J2" s="26"/>
    </row>
    <row r="3" spans="1:11" s="27" customFormat="1" ht="18" x14ac:dyDescent="0.35">
      <c r="A3" s="28"/>
      <c r="B3" s="28"/>
      <c r="C3" s="28"/>
      <c r="D3" s="28"/>
      <c r="E3" s="28"/>
      <c r="F3" s="28"/>
      <c r="G3" s="28"/>
      <c r="H3" s="28"/>
      <c r="I3" s="26"/>
      <c r="J3" s="26"/>
    </row>
    <row r="4" spans="1:11" s="27" customFormat="1" ht="18" x14ac:dyDescent="0.35">
      <c r="A4" s="28"/>
      <c r="B4" s="28"/>
      <c r="C4" s="28"/>
      <c r="D4" s="28"/>
      <c r="E4" s="28"/>
      <c r="F4" s="28"/>
      <c r="G4" s="28"/>
      <c r="H4" s="28"/>
      <c r="I4" s="26"/>
      <c r="J4" s="26"/>
    </row>
    <row r="5" spans="1:11" s="27" customFormat="1" ht="18" x14ac:dyDescent="0.35">
      <c r="A5" s="28"/>
      <c r="B5" s="28"/>
      <c r="C5" s="28"/>
      <c r="D5" s="28"/>
      <c r="E5" s="28"/>
      <c r="F5" s="28"/>
      <c r="G5" s="28"/>
      <c r="H5" s="28"/>
      <c r="I5" s="26"/>
      <c r="J5" s="26"/>
    </row>
    <row r="6" spans="1:11" s="27" customFormat="1" ht="18" x14ac:dyDescent="0.35">
      <c r="A6" s="28"/>
      <c r="B6" s="28"/>
      <c r="C6" s="28"/>
      <c r="D6" s="28"/>
      <c r="E6" s="28"/>
      <c r="F6" s="28"/>
      <c r="G6" s="28"/>
      <c r="H6" s="28"/>
      <c r="I6" s="26"/>
      <c r="J6" s="26"/>
    </row>
    <row r="7" spans="1:11" s="27" customFormat="1" ht="18" x14ac:dyDescent="0.35">
      <c r="A7" s="28"/>
      <c r="B7" s="28"/>
      <c r="C7" s="28"/>
      <c r="D7" s="28"/>
      <c r="E7" s="28"/>
      <c r="F7" s="28"/>
      <c r="G7" s="28"/>
      <c r="H7" s="28"/>
      <c r="I7" s="26"/>
      <c r="J7" s="26"/>
    </row>
    <row r="8" spans="1:11" ht="32.25" customHeight="1" x14ac:dyDescent="0.35">
      <c r="A8" s="262"/>
      <c r="B8" s="262"/>
      <c r="C8" s="262"/>
      <c r="D8" s="262"/>
      <c r="E8" s="262"/>
      <c r="F8" s="262"/>
      <c r="G8" s="262"/>
      <c r="H8" s="262"/>
      <c r="I8" s="262"/>
      <c r="J8" s="262"/>
      <c r="K8" s="262"/>
    </row>
    <row r="9" spans="1:11" ht="42" customHeight="1" x14ac:dyDescent="0.35">
      <c r="A9" s="263" t="s">
        <v>29</v>
      </c>
      <c r="B9" s="263"/>
      <c r="C9" s="263"/>
      <c r="D9" s="263"/>
      <c r="E9" s="263"/>
      <c r="F9" s="263"/>
      <c r="G9" s="263"/>
      <c r="H9" s="263"/>
      <c r="I9" s="263"/>
      <c r="J9" s="263"/>
      <c r="K9" s="263"/>
    </row>
    <row r="10" spans="1:11" ht="29.15" customHeight="1" x14ac:dyDescent="0.35">
      <c r="A10" s="264"/>
      <c r="B10" s="264"/>
      <c r="C10" s="264"/>
      <c r="D10" s="264"/>
      <c r="E10" s="264"/>
      <c r="F10" s="264"/>
      <c r="G10" s="264"/>
      <c r="H10" s="264"/>
      <c r="I10" s="264"/>
      <c r="J10" s="264"/>
      <c r="K10" s="264"/>
    </row>
    <row r="11" spans="1:11" ht="41.25" customHeight="1" x14ac:dyDescent="0.35">
      <c r="A11" s="264" t="s">
        <v>16</v>
      </c>
      <c r="B11" s="264"/>
      <c r="C11" s="264"/>
      <c r="D11" s="264"/>
      <c r="E11" s="264"/>
      <c r="F11" s="264"/>
      <c r="G11" s="264"/>
      <c r="H11" s="264"/>
      <c r="I11" s="264"/>
      <c r="J11" s="264"/>
      <c r="K11" s="264"/>
    </row>
    <row r="12" spans="1:11" s="97" customFormat="1" ht="60.75" customHeight="1" x14ac:dyDescent="0.35">
      <c r="A12" s="146" t="s">
        <v>0</v>
      </c>
      <c r="B12" s="146" t="s">
        <v>1</v>
      </c>
      <c r="C12" s="147" t="s">
        <v>12</v>
      </c>
      <c r="D12" s="147" t="s">
        <v>13</v>
      </c>
      <c r="E12" s="146" t="s">
        <v>2</v>
      </c>
      <c r="F12" s="148" t="s">
        <v>3</v>
      </c>
      <c r="G12" s="146" t="s">
        <v>4</v>
      </c>
      <c r="H12" s="149" t="s">
        <v>5</v>
      </c>
      <c r="I12" s="150" t="s">
        <v>14</v>
      </c>
      <c r="J12" s="150" t="s">
        <v>10</v>
      </c>
      <c r="K12" s="150" t="s">
        <v>9</v>
      </c>
    </row>
    <row r="13" spans="1:11" s="97" customFormat="1" ht="60.75" customHeight="1" x14ac:dyDescent="0.35">
      <c r="A13" s="3" t="s">
        <v>97</v>
      </c>
      <c r="B13" s="11" t="s">
        <v>140</v>
      </c>
      <c r="C13" s="11" t="s">
        <v>55</v>
      </c>
      <c r="D13" s="11" t="s">
        <v>56</v>
      </c>
      <c r="E13" s="5" t="s">
        <v>57</v>
      </c>
      <c r="F13" s="6"/>
      <c r="G13" s="6"/>
      <c r="H13" s="14">
        <f>540000.9+216565+559999.92+369151+174139+150000.06+115842.24</f>
        <v>2125698.12</v>
      </c>
      <c r="I13" s="11" t="s">
        <v>137</v>
      </c>
      <c r="J13" s="11" t="s">
        <v>705</v>
      </c>
      <c r="K13" s="11" t="s">
        <v>141</v>
      </c>
    </row>
    <row r="14" spans="1:11" s="97" customFormat="1" ht="60.75" customHeight="1" x14ac:dyDescent="0.35">
      <c r="A14" s="3" t="s">
        <v>98</v>
      </c>
      <c r="B14" s="11" t="s">
        <v>706</v>
      </c>
      <c r="C14" s="81" t="s">
        <v>55</v>
      </c>
      <c r="D14" s="81" t="s">
        <v>136</v>
      </c>
      <c r="E14" s="16" t="s">
        <v>57</v>
      </c>
      <c r="F14" s="6"/>
      <c r="G14" s="6"/>
      <c r="H14" s="14">
        <v>6356685.9800000004</v>
      </c>
      <c r="I14" s="11" t="s">
        <v>137</v>
      </c>
      <c r="J14" s="11" t="s">
        <v>138</v>
      </c>
      <c r="K14" s="11" t="s">
        <v>139</v>
      </c>
    </row>
    <row r="15" spans="1:11" s="97" customFormat="1" ht="35" x14ac:dyDescent="0.35">
      <c r="A15" s="19" t="s">
        <v>149</v>
      </c>
      <c r="B15" s="11" t="s">
        <v>167</v>
      </c>
      <c r="C15" s="11" t="s">
        <v>55</v>
      </c>
      <c r="D15" s="11" t="s">
        <v>168</v>
      </c>
      <c r="E15" s="5" t="s">
        <v>169</v>
      </c>
      <c r="F15" s="19"/>
      <c r="G15" s="5"/>
      <c r="H15" s="233">
        <v>71380.28</v>
      </c>
      <c r="I15" s="2" t="s">
        <v>137</v>
      </c>
      <c r="J15" s="11" t="s">
        <v>170</v>
      </c>
      <c r="K15" s="11" t="s">
        <v>171</v>
      </c>
    </row>
    <row r="16" spans="1:11" s="97" customFormat="1" ht="35" x14ac:dyDescent="0.35">
      <c r="A16" s="19" t="s">
        <v>150</v>
      </c>
      <c r="B16" s="7" t="s">
        <v>165</v>
      </c>
      <c r="C16" s="11" t="s">
        <v>55</v>
      </c>
      <c r="D16" s="11" t="s">
        <v>56</v>
      </c>
      <c r="E16" s="5" t="s">
        <v>57</v>
      </c>
      <c r="F16" s="19"/>
      <c r="G16" s="5"/>
      <c r="H16" s="233">
        <f>731253+292353+278654.5</f>
        <v>1302260.5</v>
      </c>
      <c r="I16" s="7" t="s">
        <v>105</v>
      </c>
      <c r="J16" s="7" t="s">
        <v>165</v>
      </c>
      <c r="K16" s="7" t="s">
        <v>166</v>
      </c>
    </row>
    <row r="17" spans="1:11" s="97" customFormat="1" ht="62.25" customHeight="1" x14ac:dyDescent="0.35">
      <c r="A17" s="19" t="s">
        <v>265</v>
      </c>
      <c r="B17" s="11" t="s">
        <v>313</v>
      </c>
      <c r="C17" s="11" t="s">
        <v>55</v>
      </c>
      <c r="D17" s="11" t="s">
        <v>56</v>
      </c>
      <c r="E17" s="5" t="s">
        <v>57</v>
      </c>
      <c r="F17" s="19"/>
      <c r="G17" s="5"/>
      <c r="H17" s="233">
        <v>193545</v>
      </c>
      <c r="I17" s="11" t="s">
        <v>137</v>
      </c>
      <c r="J17" s="11" t="s">
        <v>314</v>
      </c>
      <c r="K17" s="11" t="s">
        <v>141</v>
      </c>
    </row>
    <row r="18" spans="1:11" s="97" customFormat="1" ht="43.5" customHeight="1" x14ac:dyDescent="0.35">
      <c r="A18" s="19" t="s">
        <v>321</v>
      </c>
      <c r="B18" s="11" t="s">
        <v>345</v>
      </c>
      <c r="C18" s="11" t="s">
        <v>55</v>
      </c>
      <c r="D18" s="11" t="s">
        <v>56</v>
      </c>
      <c r="E18" s="5" t="s">
        <v>57</v>
      </c>
      <c r="F18" s="19"/>
      <c r="G18" s="5"/>
      <c r="H18" s="233">
        <v>132696</v>
      </c>
      <c r="I18" s="11" t="s">
        <v>137</v>
      </c>
      <c r="J18" s="11" t="s">
        <v>346</v>
      </c>
      <c r="K18" s="11" t="s">
        <v>171</v>
      </c>
    </row>
    <row r="19" spans="1:11" s="97" customFormat="1" ht="43.5" customHeight="1" x14ac:dyDescent="0.35">
      <c r="A19" s="19" t="s">
        <v>426</v>
      </c>
      <c r="B19" s="11" t="s">
        <v>472</v>
      </c>
      <c r="C19" s="11" t="s">
        <v>55</v>
      </c>
      <c r="D19" s="11" t="s">
        <v>56</v>
      </c>
      <c r="E19" s="5" t="s">
        <v>57</v>
      </c>
      <c r="F19" s="19"/>
      <c r="G19" s="5"/>
      <c r="H19" s="233">
        <v>9895.2000000000007</v>
      </c>
      <c r="I19" s="11" t="s">
        <v>137</v>
      </c>
      <c r="J19" s="11" t="s">
        <v>472</v>
      </c>
      <c r="K19" s="11" t="s">
        <v>473</v>
      </c>
    </row>
    <row r="20" spans="1:11" s="97" customFormat="1" ht="43.5" customHeight="1" x14ac:dyDescent="0.35">
      <c r="A20" s="19" t="s">
        <v>427</v>
      </c>
      <c r="B20" s="11" t="s">
        <v>485</v>
      </c>
      <c r="C20" s="11" t="s">
        <v>55</v>
      </c>
      <c r="D20" s="11" t="s">
        <v>56</v>
      </c>
      <c r="E20" s="5" t="s">
        <v>57</v>
      </c>
      <c r="F20" s="19"/>
      <c r="G20" s="5"/>
      <c r="H20" s="233">
        <v>6000000</v>
      </c>
      <c r="I20" s="11" t="s">
        <v>137</v>
      </c>
      <c r="J20" s="11" t="s">
        <v>486</v>
      </c>
      <c r="K20" s="11" t="s">
        <v>487</v>
      </c>
    </row>
    <row r="21" spans="1:11" s="97" customFormat="1" ht="52.5" x14ac:dyDescent="0.35">
      <c r="A21" s="19" t="s">
        <v>495</v>
      </c>
      <c r="B21" s="7" t="s">
        <v>554</v>
      </c>
      <c r="C21" s="11" t="s">
        <v>55</v>
      </c>
      <c r="D21" s="11" t="s">
        <v>56</v>
      </c>
      <c r="E21" s="5" t="s">
        <v>57</v>
      </c>
      <c r="F21" s="19"/>
      <c r="G21" s="5"/>
      <c r="H21" s="233">
        <v>6000000</v>
      </c>
      <c r="I21" s="11" t="s">
        <v>137</v>
      </c>
      <c r="J21" s="7" t="s">
        <v>554</v>
      </c>
      <c r="K21" s="11" t="s">
        <v>555</v>
      </c>
    </row>
    <row r="22" spans="1:11" s="97" customFormat="1" ht="35" x14ac:dyDescent="0.35">
      <c r="A22" s="19" t="s">
        <v>560</v>
      </c>
      <c r="B22" s="7" t="s">
        <v>630</v>
      </c>
      <c r="C22" s="11" t="s">
        <v>55</v>
      </c>
      <c r="D22" s="11" t="s">
        <v>56</v>
      </c>
      <c r="E22" s="5" t="s">
        <v>57</v>
      </c>
      <c r="F22" s="19"/>
      <c r="G22" s="5"/>
      <c r="H22" s="233">
        <v>32148</v>
      </c>
      <c r="I22" s="11" t="s">
        <v>137</v>
      </c>
      <c r="J22" s="7" t="s">
        <v>707</v>
      </c>
      <c r="K22" s="11" t="s">
        <v>631</v>
      </c>
    </row>
    <row r="23" spans="1:11" s="97" customFormat="1" ht="35" x14ac:dyDescent="0.35">
      <c r="A23" s="19" t="s">
        <v>588</v>
      </c>
      <c r="B23" s="7" t="s">
        <v>659</v>
      </c>
      <c r="C23" s="11" t="s">
        <v>660</v>
      </c>
      <c r="D23" s="11" t="s">
        <v>661</v>
      </c>
      <c r="E23" s="5" t="s">
        <v>169</v>
      </c>
      <c r="F23" s="19"/>
      <c r="G23" s="5"/>
      <c r="H23" s="233">
        <v>461700</v>
      </c>
      <c r="I23" s="11" t="s">
        <v>137</v>
      </c>
      <c r="J23" s="7" t="s">
        <v>662</v>
      </c>
      <c r="K23" s="11" t="s">
        <v>487</v>
      </c>
    </row>
    <row r="24" spans="1:11" s="97" customFormat="1" ht="35" x14ac:dyDescent="0.35">
      <c r="A24" s="19" t="s">
        <v>589</v>
      </c>
      <c r="B24" s="7" t="s">
        <v>632</v>
      </c>
      <c r="C24" s="11" t="s">
        <v>633</v>
      </c>
      <c r="D24" s="11" t="s">
        <v>634</v>
      </c>
      <c r="E24" s="5" t="s">
        <v>635</v>
      </c>
      <c r="F24" s="19"/>
      <c r="G24" s="5"/>
      <c r="H24" s="233">
        <v>3000000</v>
      </c>
      <c r="I24" s="11" t="s">
        <v>137</v>
      </c>
      <c r="J24" s="7" t="s">
        <v>708</v>
      </c>
      <c r="K24" s="11" t="s">
        <v>636</v>
      </c>
    </row>
    <row r="25" spans="1:11" s="97" customFormat="1" x14ac:dyDescent="0.35">
      <c r="A25" s="19"/>
      <c r="B25" s="7"/>
      <c r="C25" s="11"/>
      <c r="D25" s="11"/>
      <c r="E25" s="5"/>
      <c r="F25" s="19"/>
      <c r="G25" s="5"/>
      <c r="H25" s="233"/>
      <c r="I25" s="11"/>
      <c r="J25" s="7"/>
      <c r="K25" s="11"/>
    </row>
    <row r="26" spans="1:11" s="51" customFormat="1" ht="41.25" customHeight="1" x14ac:dyDescent="0.35">
      <c r="A26" s="37" t="s">
        <v>6</v>
      </c>
      <c r="B26" s="2"/>
      <c r="C26" s="2"/>
      <c r="D26" s="2"/>
      <c r="E26" s="9"/>
      <c r="F26" s="1"/>
      <c r="G26" s="9"/>
      <c r="H26" s="76">
        <f>SUM(H13:H24)</f>
        <v>25686009.079999998</v>
      </c>
      <c r="I26" s="11"/>
      <c r="J26" s="11"/>
      <c r="K26" s="11"/>
    </row>
    <row r="27" spans="1:11" s="51" customFormat="1" ht="34.5" customHeight="1" x14ac:dyDescent="0.35">
      <c r="A27" s="268"/>
      <c r="B27" s="268"/>
      <c r="C27" s="268"/>
      <c r="D27" s="268"/>
      <c r="E27" s="268"/>
      <c r="F27" s="268"/>
      <c r="G27" s="268"/>
      <c r="H27" s="268"/>
      <c r="I27" s="268"/>
      <c r="J27" s="268"/>
      <c r="K27" s="268"/>
    </row>
    <row r="28" spans="1:11" s="51" customFormat="1" ht="36" customHeight="1" x14ac:dyDescent="0.35">
      <c r="A28" s="270" t="s">
        <v>26</v>
      </c>
      <c r="B28" s="270"/>
      <c r="C28" s="270"/>
      <c r="D28" s="270"/>
      <c r="E28" s="270"/>
      <c r="F28" s="270"/>
      <c r="G28" s="270"/>
      <c r="H28" s="270"/>
      <c r="I28" s="270"/>
      <c r="J28" s="270"/>
      <c r="K28" s="270"/>
    </row>
    <row r="29" spans="1:11" s="51" customFormat="1" ht="51" customHeight="1" x14ac:dyDescent="0.35">
      <c r="A29" s="151" t="s">
        <v>0</v>
      </c>
      <c r="B29" s="151" t="s">
        <v>1</v>
      </c>
      <c r="C29" s="150" t="s">
        <v>12</v>
      </c>
      <c r="D29" s="150" t="s">
        <v>13</v>
      </c>
      <c r="E29" s="151" t="s">
        <v>2</v>
      </c>
      <c r="F29" s="152" t="s">
        <v>3</v>
      </c>
      <c r="G29" s="151" t="s">
        <v>4</v>
      </c>
      <c r="H29" s="76" t="s">
        <v>7</v>
      </c>
      <c r="I29" s="150" t="s">
        <v>14</v>
      </c>
      <c r="J29" s="150" t="s">
        <v>10</v>
      </c>
      <c r="K29" s="150" t="s">
        <v>9</v>
      </c>
    </row>
    <row r="30" spans="1:11" s="51" customFormat="1" ht="47.25" customHeight="1" x14ac:dyDescent="0.35">
      <c r="A30" s="18"/>
      <c r="B30" s="24"/>
      <c r="C30" s="77"/>
      <c r="D30" s="77"/>
      <c r="E30" s="25"/>
      <c r="F30" s="6"/>
      <c r="G30" s="6"/>
      <c r="H30" s="72">
        <v>0</v>
      </c>
      <c r="I30" s="2"/>
      <c r="J30" s="11"/>
      <c r="K30" s="11" t="s">
        <v>25</v>
      </c>
    </row>
    <row r="31" spans="1:11" s="51" customFormat="1" ht="45" customHeight="1" x14ac:dyDescent="0.35">
      <c r="A31" s="18"/>
      <c r="B31" s="24"/>
      <c r="C31" s="81"/>
      <c r="D31" s="81"/>
      <c r="E31" s="25"/>
      <c r="F31" s="6"/>
      <c r="G31" s="6"/>
      <c r="H31" s="71">
        <v>0</v>
      </c>
      <c r="I31" s="79"/>
      <c r="J31" s="7"/>
      <c r="K31" s="7" t="s">
        <v>25</v>
      </c>
    </row>
    <row r="32" spans="1:11" s="51" customFormat="1" ht="30.75" customHeight="1" x14ac:dyDescent="0.35">
      <c r="A32" s="18"/>
      <c r="B32" s="7"/>
      <c r="C32" s="81"/>
      <c r="D32" s="81"/>
      <c r="E32" s="25"/>
      <c r="F32" s="6"/>
      <c r="G32" s="6"/>
      <c r="H32" s="71"/>
      <c r="I32" s="79"/>
      <c r="J32" s="7"/>
      <c r="K32" s="7"/>
    </row>
    <row r="33" spans="1:11" s="51" customFormat="1" ht="39.75" customHeight="1" x14ac:dyDescent="0.35">
      <c r="A33" s="44" t="s">
        <v>6</v>
      </c>
      <c r="B33" s="11"/>
      <c r="C33" s="11"/>
      <c r="D33" s="11"/>
      <c r="E33" s="5"/>
      <c r="F33" s="45"/>
      <c r="G33" s="45"/>
      <c r="H33" s="76">
        <f>SUM(H30:H32)</f>
        <v>0</v>
      </c>
      <c r="I33" s="11"/>
      <c r="J33" s="11"/>
      <c r="K33" s="30"/>
    </row>
    <row r="34" spans="1:11" s="51" customFormat="1" ht="37.5" customHeight="1" x14ac:dyDescent="0.35">
      <c r="A34" s="80"/>
      <c r="B34" s="80"/>
      <c r="C34" s="80"/>
      <c r="D34" s="80"/>
      <c r="E34" s="80"/>
      <c r="F34" s="80"/>
      <c r="G34" s="80"/>
      <c r="H34" s="80"/>
      <c r="I34" s="80"/>
      <c r="J34" s="80"/>
      <c r="K34" s="80"/>
    </row>
    <row r="35" spans="1:11" s="51" customFormat="1" ht="29.15" customHeight="1" x14ac:dyDescent="0.35">
      <c r="A35" s="272"/>
      <c r="B35" s="272"/>
      <c r="C35" s="272"/>
      <c r="D35" s="272"/>
      <c r="E35" s="272"/>
      <c r="F35" s="272"/>
      <c r="G35" s="272"/>
      <c r="H35" s="272"/>
      <c r="I35" s="272"/>
      <c r="J35" s="272"/>
      <c r="K35" s="272"/>
    </row>
    <row r="36" spans="1:11" s="51" customFormat="1" ht="49.5" customHeight="1" x14ac:dyDescent="0.35">
      <c r="A36" s="268" t="s">
        <v>27</v>
      </c>
      <c r="B36" s="268"/>
      <c r="C36" s="268"/>
      <c r="D36" s="268"/>
      <c r="E36" s="268"/>
      <c r="F36" s="268"/>
      <c r="G36" s="268"/>
      <c r="H36" s="268"/>
      <c r="I36" s="268"/>
      <c r="J36" s="268"/>
      <c r="K36" s="268"/>
    </row>
    <row r="37" spans="1:11" s="51" customFormat="1" ht="36" x14ac:dyDescent="0.35">
      <c r="A37" s="151" t="s">
        <v>0</v>
      </c>
      <c r="B37" s="151" t="s">
        <v>1</v>
      </c>
      <c r="C37" s="150" t="s">
        <v>12</v>
      </c>
      <c r="D37" s="150" t="s">
        <v>13</v>
      </c>
      <c r="E37" s="151" t="s">
        <v>2</v>
      </c>
      <c r="F37" s="152" t="s">
        <v>3</v>
      </c>
      <c r="G37" s="151" t="s">
        <v>4</v>
      </c>
      <c r="H37" s="76" t="s">
        <v>7</v>
      </c>
      <c r="I37" s="150" t="s">
        <v>14</v>
      </c>
      <c r="J37" s="150" t="s">
        <v>10</v>
      </c>
      <c r="K37" s="150" t="s">
        <v>9</v>
      </c>
    </row>
    <row r="38" spans="1:11" s="51" customFormat="1" ht="39" customHeight="1" x14ac:dyDescent="0.35">
      <c r="A38" s="48"/>
      <c r="B38" s="7" t="s">
        <v>337</v>
      </c>
      <c r="C38" s="81" t="s">
        <v>55</v>
      </c>
      <c r="D38" s="81" t="s">
        <v>56</v>
      </c>
      <c r="E38" s="25" t="s">
        <v>250</v>
      </c>
      <c r="F38" s="49"/>
      <c r="G38" s="48"/>
      <c r="H38" s="38">
        <v>200</v>
      </c>
      <c r="I38" s="79" t="s">
        <v>251</v>
      </c>
      <c r="J38" s="7" t="s">
        <v>337</v>
      </c>
      <c r="K38" s="150"/>
    </row>
    <row r="39" spans="1:11" s="51" customFormat="1" ht="39" customHeight="1" x14ac:dyDescent="0.35">
      <c r="A39" s="48"/>
      <c r="B39" s="48"/>
      <c r="C39" s="191"/>
      <c r="D39" s="191"/>
      <c r="E39" s="48"/>
      <c r="F39" s="49"/>
      <c r="G39" s="48"/>
      <c r="H39" s="38">
        <v>0</v>
      </c>
      <c r="I39" s="190"/>
      <c r="J39" s="190"/>
      <c r="K39" s="150"/>
    </row>
    <row r="40" spans="1:11" s="51" customFormat="1" ht="36.75" customHeight="1" x14ac:dyDescent="0.35">
      <c r="A40" s="31"/>
      <c r="B40" s="15"/>
      <c r="C40" s="81"/>
      <c r="D40" s="81"/>
      <c r="E40" s="16"/>
      <c r="F40" s="6"/>
      <c r="G40" s="6"/>
      <c r="H40" s="80"/>
      <c r="I40" s="17"/>
      <c r="J40" s="22"/>
      <c r="K40" s="7"/>
    </row>
    <row r="41" spans="1:11" s="47" customFormat="1" ht="39.75" customHeight="1" x14ac:dyDescent="0.35">
      <c r="A41" s="46" t="s">
        <v>6</v>
      </c>
      <c r="B41" s="30"/>
      <c r="C41" s="30"/>
      <c r="D41" s="30"/>
      <c r="E41" s="41"/>
      <c r="F41" s="46"/>
      <c r="G41" s="41"/>
      <c r="H41" s="83">
        <f>SUM(H38:H40)</f>
        <v>200</v>
      </c>
      <c r="I41" s="11"/>
      <c r="J41" s="11"/>
      <c r="K41" s="11"/>
    </row>
    <row r="42" spans="1:11" s="47" customFormat="1" ht="51" customHeight="1" x14ac:dyDescent="0.35">
      <c r="A42" s="268"/>
      <c r="B42" s="268"/>
      <c r="C42" s="268"/>
      <c r="D42" s="268"/>
      <c r="E42" s="268"/>
      <c r="F42" s="268"/>
      <c r="G42" s="268"/>
      <c r="H42" s="268"/>
      <c r="I42" s="268"/>
      <c r="J42" s="268"/>
      <c r="K42" s="268"/>
    </row>
    <row r="43" spans="1:11" s="47" customFormat="1" ht="32.25" customHeight="1" x14ac:dyDescent="0.35">
      <c r="A43" s="262" t="s">
        <v>17</v>
      </c>
      <c r="B43" s="262"/>
      <c r="C43" s="262"/>
      <c r="D43" s="262"/>
      <c r="E43" s="262"/>
      <c r="F43" s="262"/>
      <c r="G43" s="262"/>
      <c r="H43" s="262"/>
      <c r="I43" s="262"/>
      <c r="J43" s="262"/>
      <c r="K43" s="262"/>
    </row>
    <row r="44" spans="1:11" s="51" customFormat="1" ht="36" x14ac:dyDescent="0.35">
      <c r="A44" s="151" t="s">
        <v>0</v>
      </c>
      <c r="B44" s="151" t="s">
        <v>1</v>
      </c>
      <c r="C44" s="150" t="s">
        <v>12</v>
      </c>
      <c r="D44" s="150" t="s">
        <v>13</v>
      </c>
      <c r="E44" s="151" t="s">
        <v>2</v>
      </c>
      <c r="F44" s="152" t="s">
        <v>3</v>
      </c>
      <c r="G44" s="151" t="s">
        <v>4</v>
      </c>
      <c r="H44" s="76" t="s">
        <v>7</v>
      </c>
      <c r="I44" s="150" t="s">
        <v>14</v>
      </c>
      <c r="J44" s="150" t="s">
        <v>10</v>
      </c>
      <c r="K44" s="150" t="s">
        <v>9</v>
      </c>
    </row>
    <row r="45" spans="1:11" s="51" customFormat="1" ht="41.25" customHeight="1" x14ac:dyDescent="0.35">
      <c r="A45" s="31" t="s">
        <v>62</v>
      </c>
      <c r="B45" s="2" t="s">
        <v>693</v>
      </c>
      <c r="C45" s="32" t="s">
        <v>55</v>
      </c>
      <c r="D45" s="33" t="s">
        <v>56</v>
      </c>
      <c r="E45" s="34" t="s">
        <v>57</v>
      </c>
      <c r="F45" s="253"/>
      <c r="G45" s="253"/>
      <c r="H45" s="221">
        <f>643342.5+117460.57+144837</f>
        <v>905640.07000000007</v>
      </c>
      <c r="I45" s="7" t="s">
        <v>63</v>
      </c>
      <c r="J45" s="7" t="s">
        <v>52</v>
      </c>
      <c r="K45" s="7"/>
    </row>
    <row r="46" spans="1:11" s="51" customFormat="1" ht="36.75" customHeight="1" x14ac:dyDescent="0.35">
      <c r="A46" s="7"/>
      <c r="B46" s="7"/>
      <c r="C46" s="69"/>
      <c r="D46" s="69"/>
      <c r="E46" s="25"/>
      <c r="F46" s="49"/>
      <c r="G46" s="48"/>
      <c r="H46" s="21"/>
      <c r="I46" s="7"/>
      <c r="J46" s="7"/>
      <c r="K46" s="7"/>
    </row>
    <row r="47" spans="1:11" s="47" customFormat="1" ht="29.15" customHeight="1" x14ac:dyDescent="0.35">
      <c r="A47" s="46" t="s">
        <v>6</v>
      </c>
      <c r="B47" s="11"/>
      <c r="C47" s="11"/>
      <c r="D47" s="11"/>
      <c r="E47" s="5"/>
      <c r="F47" s="19"/>
      <c r="G47" s="5"/>
      <c r="H47" s="76">
        <f>SUM(H45:H46)</f>
        <v>905640.07000000007</v>
      </c>
      <c r="I47" s="11"/>
      <c r="J47" s="11"/>
      <c r="K47" s="11"/>
    </row>
    <row r="48" spans="1:11" s="103" customFormat="1" ht="36.75" customHeight="1" x14ac:dyDescent="0.35">
      <c r="A48" s="268"/>
      <c r="B48" s="268"/>
      <c r="C48" s="268"/>
      <c r="D48" s="268"/>
      <c r="E48" s="268"/>
      <c r="F48" s="268"/>
      <c r="G48" s="268"/>
      <c r="H48" s="268"/>
      <c r="I48" s="268"/>
      <c r="J48" s="268"/>
      <c r="K48" s="268"/>
    </row>
    <row r="49" spans="1:11" s="103" customFormat="1" ht="34.5" customHeight="1" x14ac:dyDescent="0.35">
      <c r="A49" s="264" t="s">
        <v>18</v>
      </c>
      <c r="B49" s="264"/>
      <c r="C49" s="264"/>
      <c r="D49" s="264"/>
      <c r="E49" s="264"/>
      <c r="F49" s="264"/>
      <c r="G49" s="264"/>
      <c r="H49" s="264"/>
      <c r="I49" s="264"/>
      <c r="J49" s="264"/>
      <c r="K49" s="264"/>
    </row>
    <row r="50" spans="1:11" s="51" customFormat="1" ht="42.75" customHeight="1" x14ac:dyDescent="0.35">
      <c r="A50" s="151" t="s">
        <v>0</v>
      </c>
      <c r="B50" s="151" t="s">
        <v>1</v>
      </c>
      <c r="C50" s="150" t="s">
        <v>12</v>
      </c>
      <c r="D50" s="150" t="s">
        <v>13</v>
      </c>
      <c r="E50" s="151" t="s">
        <v>2</v>
      </c>
      <c r="F50" s="152" t="s">
        <v>3</v>
      </c>
      <c r="G50" s="151" t="s">
        <v>4</v>
      </c>
      <c r="H50" s="76" t="s">
        <v>7</v>
      </c>
      <c r="I50" s="150" t="s">
        <v>14</v>
      </c>
      <c r="J50" s="150" t="s">
        <v>10</v>
      </c>
      <c r="K50" s="150" t="s">
        <v>9</v>
      </c>
    </row>
    <row r="51" spans="1:11" s="97" customFormat="1" ht="40.5" customHeight="1" x14ac:dyDescent="0.35">
      <c r="A51" s="31" t="s">
        <v>53</v>
      </c>
      <c r="B51" s="139" t="s">
        <v>58</v>
      </c>
      <c r="C51" s="81" t="s">
        <v>55</v>
      </c>
      <c r="D51" s="81" t="s">
        <v>64</v>
      </c>
      <c r="E51" s="16" t="s">
        <v>57</v>
      </c>
      <c r="F51" s="82"/>
      <c r="G51" s="6"/>
      <c r="H51" s="14">
        <f>229577.34+400+440+27648.62+8851+400+375+1680</f>
        <v>269371.95999999996</v>
      </c>
      <c r="I51" s="236" t="s">
        <v>105</v>
      </c>
      <c r="J51" s="236" t="s">
        <v>54</v>
      </c>
      <c r="K51" s="236"/>
    </row>
    <row r="52" spans="1:11" s="97" customFormat="1" ht="40.5" customHeight="1" x14ac:dyDescent="0.35">
      <c r="A52" s="31" t="s">
        <v>53</v>
      </c>
      <c r="B52" s="139" t="s">
        <v>376</v>
      </c>
      <c r="C52" s="81" t="s">
        <v>55</v>
      </c>
      <c r="D52" s="81" t="s">
        <v>377</v>
      </c>
      <c r="E52" s="16" t="s">
        <v>57</v>
      </c>
      <c r="F52" s="82"/>
      <c r="G52" s="253"/>
      <c r="H52" s="14">
        <v>18719.7</v>
      </c>
      <c r="I52" s="236" t="s">
        <v>105</v>
      </c>
      <c r="J52" s="254" t="s">
        <v>49</v>
      </c>
      <c r="K52" s="236"/>
    </row>
    <row r="53" spans="1:11" s="97" customFormat="1" ht="52.5" x14ac:dyDescent="0.35">
      <c r="A53" s="31" t="s">
        <v>157</v>
      </c>
      <c r="B53" s="139" t="s">
        <v>186</v>
      </c>
      <c r="C53" s="81" t="s">
        <v>50</v>
      </c>
      <c r="D53" s="81"/>
      <c r="E53" s="16"/>
      <c r="F53" s="82"/>
      <c r="G53" s="6"/>
      <c r="H53" s="14">
        <f>382400+95600</f>
        <v>478000</v>
      </c>
      <c r="I53" s="2" t="s">
        <v>187</v>
      </c>
      <c r="J53" s="139" t="s">
        <v>188</v>
      </c>
      <c r="K53" s="2" t="s">
        <v>189</v>
      </c>
    </row>
    <row r="54" spans="1:11" s="97" customFormat="1" ht="63" customHeight="1" x14ac:dyDescent="0.35">
      <c r="A54" s="31" t="s">
        <v>158</v>
      </c>
      <c r="B54" s="234" t="s">
        <v>190</v>
      </c>
      <c r="C54" s="81" t="s">
        <v>50</v>
      </c>
      <c r="D54" s="81"/>
      <c r="E54" s="16"/>
      <c r="F54" s="82"/>
      <c r="G54" s="6"/>
      <c r="H54" s="14">
        <v>274300</v>
      </c>
      <c r="I54" s="235" t="s">
        <v>187</v>
      </c>
      <c r="J54" s="139" t="s">
        <v>191</v>
      </c>
      <c r="K54" s="235" t="s">
        <v>189</v>
      </c>
    </row>
    <row r="55" spans="1:11" s="97" customFormat="1" ht="40.5" customHeight="1" x14ac:dyDescent="0.35">
      <c r="A55" s="31" t="s">
        <v>159</v>
      </c>
      <c r="B55" s="139" t="s">
        <v>162</v>
      </c>
      <c r="C55" s="81" t="s">
        <v>50</v>
      </c>
      <c r="D55" s="81"/>
      <c r="E55" s="16"/>
      <c r="F55" s="82"/>
      <c r="G55" s="6"/>
      <c r="H55" s="14">
        <f>4262.21+598+1860.45+4928.32</f>
        <v>11648.98</v>
      </c>
      <c r="I55" s="2" t="s">
        <v>163</v>
      </c>
      <c r="J55" s="139" t="s">
        <v>164</v>
      </c>
      <c r="K55" s="2" t="s">
        <v>24</v>
      </c>
    </row>
    <row r="56" spans="1:11" s="97" customFormat="1" ht="40.5" customHeight="1" x14ac:dyDescent="0.35">
      <c r="A56" s="31" t="s">
        <v>274</v>
      </c>
      <c r="B56" s="139" t="s">
        <v>299</v>
      </c>
      <c r="C56" s="81" t="s">
        <v>55</v>
      </c>
      <c r="D56" s="81" t="s">
        <v>56</v>
      </c>
      <c r="E56" s="16" t="s">
        <v>57</v>
      </c>
      <c r="F56" s="82"/>
      <c r="G56" s="6"/>
      <c r="H56" s="14">
        <v>9925.5</v>
      </c>
      <c r="I56" s="2" t="s">
        <v>163</v>
      </c>
      <c r="J56" s="139" t="s">
        <v>709</v>
      </c>
      <c r="K56" s="2" t="s">
        <v>24</v>
      </c>
    </row>
    <row r="57" spans="1:11" s="143" customFormat="1" ht="40.5" customHeight="1" x14ac:dyDescent="0.35">
      <c r="A57" s="18" t="s">
        <v>269</v>
      </c>
      <c r="B57" s="144" t="s">
        <v>162</v>
      </c>
      <c r="C57" s="81" t="s">
        <v>55</v>
      </c>
      <c r="D57" s="81" t="s">
        <v>56</v>
      </c>
      <c r="E57" s="16" t="s">
        <v>57</v>
      </c>
      <c r="F57" s="82"/>
      <c r="G57" s="6"/>
      <c r="H57" s="14">
        <f>38930.82+4360.5+3696</f>
        <v>46987.32</v>
      </c>
      <c r="I57" s="7" t="s">
        <v>163</v>
      </c>
      <c r="J57" s="144" t="s">
        <v>710</v>
      </c>
      <c r="K57" s="2" t="s">
        <v>24</v>
      </c>
    </row>
    <row r="58" spans="1:11" s="143" customFormat="1" ht="40.5" customHeight="1" x14ac:dyDescent="0.35">
      <c r="A58" s="18" t="s">
        <v>275</v>
      </c>
      <c r="B58" s="144" t="s">
        <v>162</v>
      </c>
      <c r="C58" s="81" t="s">
        <v>50</v>
      </c>
      <c r="D58" s="81"/>
      <c r="E58" s="16"/>
      <c r="F58" s="82"/>
      <c r="G58" s="253"/>
      <c r="H58" s="14">
        <v>13054</v>
      </c>
      <c r="I58" s="7" t="s">
        <v>163</v>
      </c>
      <c r="J58" s="144" t="s">
        <v>347</v>
      </c>
      <c r="K58" s="2" t="s">
        <v>24</v>
      </c>
    </row>
    <row r="59" spans="1:11" s="143" customFormat="1" ht="40.5" customHeight="1" x14ac:dyDescent="0.35">
      <c r="A59" s="18" t="s">
        <v>330</v>
      </c>
      <c r="B59" s="144" t="s">
        <v>348</v>
      </c>
      <c r="C59" s="81" t="s">
        <v>55</v>
      </c>
      <c r="D59" s="81" t="s">
        <v>56</v>
      </c>
      <c r="E59" s="16" t="s">
        <v>57</v>
      </c>
      <c r="F59" s="82"/>
      <c r="G59" s="253"/>
      <c r="H59" s="14">
        <f>1476269.07+85930.85+561939.09+2553.6+124456.49+43339.56+15588.2+66484.4+31246.91+57786.69+35080.14+183446.13+84781.06+304444.64</f>
        <v>3073346.830000001</v>
      </c>
      <c r="I59" s="7" t="s">
        <v>163</v>
      </c>
      <c r="J59" s="144" t="s">
        <v>349</v>
      </c>
      <c r="K59" s="2" t="s">
        <v>350</v>
      </c>
    </row>
    <row r="60" spans="1:11" s="143" customFormat="1" ht="40.5" customHeight="1" x14ac:dyDescent="0.35">
      <c r="A60" s="18" t="s">
        <v>375</v>
      </c>
      <c r="B60" s="144" t="s">
        <v>415</v>
      </c>
      <c r="C60" s="81" t="s">
        <v>50</v>
      </c>
      <c r="D60" s="81"/>
      <c r="E60" s="16"/>
      <c r="F60" s="82"/>
      <c r="G60" s="253"/>
      <c r="H60" s="14">
        <v>31350</v>
      </c>
      <c r="I60" s="7" t="s">
        <v>105</v>
      </c>
      <c r="J60" s="144" t="s">
        <v>416</v>
      </c>
      <c r="K60" s="2" t="s">
        <v>417</v>
      </c>
    </row>
    <row r="61" spans="1:11" s="143" customFormat="1" ht="40.5" customHeight="1" x14ac:dyDescent="0.35">
      <c r="A61" s="18" t="s">
        <v>378</v>
      </c>
      <c r="B61" s="144" t="s">
        <v>418</v>
      </c>
      <c r="C61" s="81" t="s">
        <v>50</v>
      </c>
      <c r="D61" s="81"/>
      <c r="E61" s="16"/>
      <c r="F61" s="82"/>
      <c r="G61" s="253"/>
      <c r="H61" s="14">
        <v>9285</v>
      </c>
      <c r="I61" s="7" t="s">
        <v>163</v>
      </c>
      <c r="J61" s="144" t="s">
        <v>419</v>
      </c>
      <c r="K61" s="2" t="s">
        <v>24</v>
      </c>
    </row>
    <row r="62" spans="1:11" s="143" customFormat="1" ht="40.5" customHeight="1" x14ac:dyDescent="0.35">
      <c r="A62" s="18" t="s">
        <v>504</v>
      </c>
      <c r="B62" s="144" t="s">
        <v>162</v>
      </c>
      <c r="C62" s="81" t="s">
        <v>50</v>
      </c>
      <c r="D62" s="81"/>
      <c r="E62" s="16"/>
      <c r="F62" s="82"/>
      <c r="G62" s="253"/>
      <c r="H62" s="14">
        <v>9211.2000000000007</v>
      </c>
      <c r="I62" s="7" t="s">
        <v>163</v>
      </c>
      <c r="J62" s="144" t="s">
        <v>711</v>
      </c>
      <c r="K62" s="2" t="s">
        <v>533</v>
      </c>
    </row>
    <row r="63" spans="1:11" s="143" customFormat="1" ht="40.5" customHeight="1" x14ac:dyDescent="0.35">
      <c r="A63" s="18" t="s">
        <v>505</v>
      </c>
      <c r="B63" s="144" t="s">
        <v>534</v>
      </c>
      <c r="C63" s="81" t="s">
        <v>50</v>
      </c>
      <c r="D63" s="81"/>
      <c r="E63" s="16"/>
      <c r="F63" s="82"/>
      <c r="G63" s="253"/>
      <c r="H63" s="14">
        <v>330449</v>
      </c>
      <c r="I63" s="7" t="s">
        <v>163</v>
      </c>
      <c r="J63" s="144" t="s">
        <v>712</v>
      </c>
      <c r="K63" s="2" t="s">
        <v>24</v>
      </c>
    </row>
    <row r="64" spans="1:11" s="143" customFormat="1" ht="40.5" customHeight="1" x14ac:dyDescent="0.35">
      <c r="A64" s="18" t="s">
        <v>542</v>
      </c>
      <c r="B64" s="144" t="s">
        <v>418</v>
      </c>
      <c r="C64" s="81" t="s">
        <v>50</v>
      </c>
      <c r="D64" s="81"/>
      <c r="E64" s="16"/>
      <c r="F64" s="82"/>
      <c r="G64" s="253"/>
      <c r="H64" s="14">
        <v>9200</v>
      </c>
      <c r="I64" s="7" t="s">
        <v>163</v>
      </c>
      <c r="J64" s="144" t="s">
        <v>543</v>
      </c>
      <c r="K64" s="2" t="s">
        <v>473</v>
      </c>
    </row>
    <row r="65" spans="1:11" s="143" customFormat="1" ht="40.5" customHeight="1" x14ac:dyDescent="0.35">
      <c r="A65" s="18" t="s">
        <v>565</v>
      </c>
      <c r="B65" s="144" t="s">
        <v>629</v>
      </c>
      <c r="C65" s="81" t="s">
        <v>50</v>
      </c>
      <c r="D65" s="81"/>
      <c r="E65" s="16"/>
      <c r="F65" s="82"/>
      <c r="G65" s="253"/>
      <c r="H65" s="14">
        <v>58767</v>
      </c>
      <c r="I65" s="7" t="s">
        <v>178</v>
      </c>
      <c r="J65" s="144" t="s">
        <v>629</v>
      </c>
      <c r="K65" s="2" t="s">
        <v>473</v>
      </c>
    </row>
    <row r="66" spans="1:11" s="115" customFormat="1" ht="36" customHeight="1" x14ac:dyDescent="0.35">
      <c r="A66" s="46" t="s">
        <v>6</v>
      </c>
      <c r="B66" s="30"/>
      <c r="C66" s="30"/>
      <c r="D66" s="30"/>
      <c r="E66" s="41"/>
      <c r="F66" s="46"/>
      <c r="G66" s="41"/>
      <c r="H66" s="76">
        <f>SUM(H51:H65)</f>
        <v>4643616.4900000012</v>
      </c>
      <c r="I66" s="11"/>
      <c r="J66" s="11"/>
      <c r="K66" s="11"/>
    </row>
    <row r="67" spans="1:11" s="103" customFormat="1" ht="33" customHeight="1" x14ac:dyDescent="0.35">
      <c r="A67" s="269"/>
      <c r="B67" s="269"/>
      <c r="C67" s="269"/>
      <c r="D67" s="269"/>
      <c r="E67" s="269"/>
      <c r="F67" s="269"/>
      <c r="G67" s="269"/>
      <c r="H67" s="269"/>
      <c r="I67" s="269"/>
      <c r="J67" s="269"/>
      <c r="K67" s="269"/>
    </row>
    <row r="68" spans="1:11" s="51" customFormat="1" ht="35.25" customHeight="1" x14ac:dyDescent="0.35">
      <c r="A68" s="269"/>
      <c r="B68" s="269"/>
      <c r="C68" s="269"/>
      <c r="D68" s="269"/>
      <c r="E68" s="269"/>
      <c r="F68" s="269"/>
      <c r="G68" s="269"/>
      <c r="H68" s="269"/>
      <c r="I68" s="269"/>
      <c r="J68" s="269"/>
      <c r="K68" s="269"/>
    </row>
    <row r="69" spans="1:11" s="51" customFormat="1" ht="35.25" customHeight="1" x14ac:dyDescent="0.35">
      <c r="A69" s="264" t="s">
        <v>19</v>
      </c>
      <c r="B69" s="264"/>
      <c r="C69" s="264"/>
      <c r="D69" s="264"/>
      <c r="E69" s="264"/>
      <c r="F69" s="264"/>
      <c r="G69" s="264"/>
      <c r="H69" s="264"/>
      <c r="I69" s="264"/>
      <c r="J69" s="264"/>
      <c r="K69" s="264"/>
    </row>
    <row r="70" spans="1:11" s="51" customFormat="1" ht="36" x14ac:dyDescent="0.35">
      <c r="A70" s="151" t="s">
        <v>0</v>
      </c>
      <c r="B70" s="151" t="s">
        <v>1</v>
      </c>
      <c r="C70" s="150" t="s">
        <v>12</v>
      </c>
      <c r="D70" s="150" t="s">
        <v>13</v>
      </c>
      <c r="E70" s="151" t="s">
        <v>2</v>
      </c>
      <c r="F70" s="152" t="s">
        <v>3</v>
      </c>
      <c r="G70" s="151" t="s">
        <v>4</v>
      </c>
      <c r="H70" s="76" t="s">
        <v>7</v>
      </c>
      <c r="I70" s="150" t="s">
        <v>14</v>
      </c>
      <c r="J70" s="150" t="s">
        <v>10</v>
      </c>
      <c r="K70" s="150" t="s">
        <v>9</v>
      </c>
    </row>
    <row r="71" spans="1:11" ht="42" customHeight="1" x14ac:dyDescent="0.35">
      <c r="A71" s="3" t="s">
        <v>259</v>
      </c>
      <c r="B71" s="2" t="s">
        <v>300</v>
      </c>
      <c r="C71" s="69" t="s">
        <v>55</v>
      </c>
      <c r="D71" s="69" t="s">
        <v>56</v>
      </c>
      <c r="E71" s="13" t="s">
        <v>57</v>
      </c>
      <c r="F71" s="6"/>
      <c r="G71" s="6"/>
      <c r="H71" s="14">
        <f>49916271.5+94262707.95+0.09+668729+17940000</f>
        <v>162787708.53999999</v>
      </c>
      <c r="I71" s="17" t="s">
        <v>301</v>
      </c>
      <c r="J71" s="2" t="s">
        <v>713</v>
      </c>
      <c r="K71" s="2" t="s">
        <v>141</v>
      </c>
    </row>
    <row r="72" spans="1:11" ht="42" customHeight="1" x14ac:dyDescent="0.35">
      <c r="A72" s="3" t="s">
        <v>563</v>
      </c>
      <c r="B72" s="2" t="s">
        <v>627</v>
      </c>
      <c r="C72" s="69" t="s">
        <v>123</v>
      </c>
      <c r="D72" s="69"/>
      <c r="E72" s="13"/>
      <c r="F72" s="6"/>
      <c r="G72" s="6"/>
      <c r="H72" s="14">
        <f>157190.03+636.2</f>
        <v>157826.23000000001</v>
      </c>
      <c r="I72" s="17" t="s">
        <v>301</v>
      </c>
      <c r="J72" s="2" t="s">
        <v>627</v>
      </c>
      <c r="K72" s="2" t="s">
        <v>171</v>
      </c>
    </row>
    <row r="73" spans="1:11" ht="51.75" customHeight="1" x14ac:dyDescent="0.35">
      <c r="A73" s="46" t="s">
        <v>6</v>
      </c>
      <c r="B73" s="30"/>
      <c r="C73" s="30"/>
      <c r="D73" s="30"/>
      <c r="E73" s="41"/>
      <c r="F73" s="46"/>
      <c r="G73" s="41"/>
      <c r="H73" s="14">
        <f>SUM(H71:H72)</f>
        <v>162945534.76999998</v>
      </c>
      <c r="I73" s="11"/>
      <c r="J73" s="11"/>
      <c r="K73" s="11"/>
    </row>
    <row r="74" spans="1:11" ht="51.75" customHeight="1" x14ac:dyDescent="0.35">
      <c r="A74" s="122"/>
      <c r="B74" s="114"/>
      <c r="C74" s="114"/>
      <c r="D74" s="114"/>
      <c r="E74" s="188"/>
      <c r="F74" s="51"/>
      <c r="G74" s="188"/>
      <c r="H74" s="201"/>
      <c r="I74" s="40"/>
      <c r="J74" s="40"/>
      <c r="K74" s="51"/>
    </row>
    <row r="75" spans="1:11" s="200" customFormat="1" ht="51.75" customHeight="1" x14ac:dyDescent="0.35">
      <c r="A75" s="189" t="s">
        <v>8</v>
      </c>
      <c r="B75" s="195"/>
      <c r="C75" s="195"/>
      <c r="D75" s="195"/>
      <c r="E75" s="196"/>
      <c r="F75" s="197"/>
      <c r="G75" s="196"/>
      <c r="H75" s="203">
        <f>+H73+H66+H47+H41+H33+H26</f>
        <v>194181000.40999997</v>
      </c>
      <c r="I75" s="198"/>
      <c r="J75" s="198"/>
      <c r="K75" s="199"/>
    </row>
    <row r="76" spans="1:11" ht="18" x14ac:dyDescent="0.35">
      <c r="B76" s="58"/>
      <c r="C76" s="59"/>
      <c r="D76" s="59"/>
    </row>
    <row r="77" spans="1:11" ht="18" x14ac:dyDescent="0.35">
      <c r="A77" s="266"/>
      <c r="B77" s="267"/>
      <c r="C77" s="267"/>
      <c r="D77" s="267"/>
      <c r="E77" s="267"/>
      <c r="F77" s="267"/>
      <c r="G77" s="267"/>
      <c r="H77" s="267"/>
    </row>
  </sheetData>
  <mergeCells count="17">
    <mergeCell ref="A1:H1"/>
    <mergeCell ref="A8:K8"/>
    <mergeCell ref="A9:K9"/>
    <mergeCell ref="A11:K11"/>
    <mergeCell ref="A27:K27"/>
    <mergeCell ref="A77:H77"/>
    <mergeCell ref="A35:K35"/>
    <mergeCell ref="A10:K10"/>
    <mergeCell ref="A42:K42"/>
    <mergeCell ref="A43:K43"/>
    <mergeCell ref="A48:K48"/>
    <mergeCell ref="A49:K49"/>
    <mergeCell ref="A28:K28"/>
    <mergeCell ref="A36:K36"/>
    <mergeCell ref="A67:K67"/>
    <mergeCell ref="A68:K68"/>
    <mergeCell ref="A69:K69"/>
  </mergeCells>
  <pageMargins left="0.7" right="0.7" top="0.75" bottom="0.75" header="0.3" footer="0.3"/>
  <pageSetup paperSize="8" scale="52" orientation="landscape" r:id="rId1"/>
  <rowBreaks count="2" manualBreakCount="2">
    <brk id="34" max="16383" man="1"/>
    <brk id="6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view="pageBreakPreview" topLeftCell="A52" zoomScale="60" zoomScaleNormal="70" workbookViewId="0">
      <selection activeCell="A65" sqref="A65"/>
    </sheetView>
  </sheetViews>
  <sheetFormatPr defaultColWidth="9.1796875" defaultRowHeight="17.5" x14ac:dyDescent="0.35"/>
  <cols>
    <col min="1" max="1" width="40" style="29" customWidth="1"/>
    <col min="2" max="2" width="60.7265625" style="61" customWidth="1"/>
    <col min="3" max="3" width="14.81640625" style="61" customWidth="1"/>
    <col min="4" max="4" width="14.26953125" style="61" customWidth="1"/>
    <col min="5" max="5" width="16.81640625" style="60" customWidth="1"/>
    <col min="6" max="6" width="13.1796875" style="29" customWidth="1"/>
    <col min="7" max="7" width="12.81640625" style="60" customWidth="1"/>
    <col min="8" max="8" width="23.26953125" style="89" bestFit="1" customWidth="1"/>
    <col min="9" max="9" width="39.7265625" style="61" customWidth="1"/>
    <col min="10" max="10" width="69.26953125" style="61" customWidth="1"/>
    <col min="11" max="11" width="34" style="29" customWidth="1"/>
    <col min="12" max="16384" width="9.1796875" style="29"/>
  </cols>
  <sheetData>
    <row r="1" spans="1:11" s="27" customFormat="1" ht="18" x14ac:dyDescent="0.35">
      <c r="A1" s="262"/>
      <c r="B1" s="262"/>
      <c r="C1" s="262"/>
      <c r="D1" s="262"/>
      <c r="E1" s="262"/>
      <c r="F1" s="262"/>
      <c r="G1" s="262"/>
      <c r="H1" s="262"/>
      <c r="I1" s="26"/>
      <c r="J1" s="26"/>
    </row>
    <row r="2" spans="1:11" s="27" customFormat="1" ht="18" x14ac:dyDescent="0.35">
      <c r="A2" s="28"/>
      <c r="B2" s="28"/>
      <c r="C2" s="28"/>
      <c r="D2" s="28"/>
      <c r="E2" s="28"/>
      <c r="F2" s="28"/>
      <c r="G2" s="28"/>
      <c r="H2" s="28"/>
      <c r="I2" s="26"/>
      <c r="J2" s="26"/>
    </row>
    <row r="3" spans="1:11" s="27" customFormat="1" ht="18" x14ac:dyDescent="0.35">
      <c r="A3" s="28"/>
      <c r="B3" s="28"/>
      <c r="C3" s="28"/>
      <c r="D3" s="28"/>
      <c r="E3" s="28"/>
      <c r="F3" s="28"/>
      <c r="G3" s="28"/>
      <c r="H3" s="28"/>
      <c r="I3" s="26"/>
      <c r="J3" s="26"/>
    </row>
    <row r="4" spans="1:11" s="27" customFormat="1" ht="18" x14ac:dyDescent="0.35">
      <c r="A4" s="28"/>
      <c r="B4" s="28"/>
      <c r="C4" s="28"/>
      <c r="D4" s="28"/>
      <c r="E4" s="28"/>
      <c r="F4" s="28"/>
      <c r="G4" s="28"/>
      <c r="H4" s="28"/>
      <c r="I4" s="26"/>
      <c r="J4" s="26"/>
    </row>
    <row r="5" spans="1:11" s="27" customFormat="1" ht="18" x14ac:dyDescent="0.35">
      <c r="A5" s="28"/>
      <c r="B5" s="28"/>
      <c r="C5" s="28"/>
      <c r="D5" s="28"/>
      <c r="E5" s="28"/>
      <c r="F5" s="28"/>
      <c r="G5" s="28"/>
      <c r="H5" s="28"/>
      <c r="I5" s="26"/>
      <c r="J5" s="26"/>
    </row>
    <row r="6" spans="1:11" s="27" customFormat="1" ht="18" x14ac:dyDescent="0.35">
      <c r="A6" s="28"/>
      <c r="B6" s="28"/>
      <c r="C6" s="28"/>
      <c r="D6" s="28"/>
      <c r="E6" s="28"/>
      <c r="F6" s="28"/>
      <c r="G6" s="28"/>
      <c r="H6" s="28"/>
      <c r="I6" s="26"/>
      <c r="J6" s="26"/>
    </row>
    <row r="7" spans="1:11" s="27" customFormat="1" ht="18" x14ac:dyDescent="0.35">
      <c r="A7" s="28"/>
      <c r="B7" s="28"/>
      <c r="C7" s="28"/>
      <c r="D7" s="28"/>
      <c r="E7" s="28"/>
      <c r="F7" s="28"/>
      <c r="G7" s="28"/>
      <c r="H7" s="28"/>
      <c r="I7" s="26"/>
      <c r="J7" s="26"/>
    </row>
    <row r="8" spans="1:11" ht="32.25" customHeight="1" x14ac:dyDescent="0.35">
      <c r="A8" s="262"/>
      <c r="B8" s="262"/>
      <c r="C8" s="262"/>
      <c r="D8" s="262"/>
      <c r="E8" s="262"/>
      <c r="F8" s="262"/>
      <c r="G8" s="262"/>
      <c r="H8" s="262"/>
      <c r="I8" s="262"/>
      <c r="J8" s="262"/>
      <c r="K8" s="262"/>
    </row>
    <row r="9" spans="1:11" ht="48.75" customHeight="1" x14ac:dyDescent="0.35">
      <c r="A9" s="263" t="s">
        <v>30</v>
      </c>
      <c r="B9" s="263"/>
      <c r="C9" s="263"/>
      <c r="D9" s="263"/>
      <c r="E9" s="263"/>
      <c r="F9" s="263"/>
      <c r="G9" s="263"/>
      <c r="H9" s="263"/>
      <c r="I9" s="263"/>
      <c r="J9" s="263"/>
      <c r="K9" s="263"/>
    </row>
    <row r="10" spans="1:11" ht="32.25" customHeight="1" x14ac:dyDescent="0.35">
      <c r="A10" s="262"/>
      <c r="B10" s="262"/>
      <c r="C10" s="262"/>
      <c r="D10" s="262"/>
      <c r="E10" s="262"/>
      <c r="F10" s="262"/>
      <c r="G10" s="262"/>
      <c r="H10" s="262"/>
      <c r="I10" s="262"/>
      <c r="J10" s="262"/>
      <c r="K10" s="262"/>
    </row>
    <row r="11" spans="1:11" ht="32.25" customHeight="1" x14ac:dyDescent="0.35">
      <c r="A11" s="264" t="s">
        <v>16</v>
      </c>
      <c r="B11" s="264"/>
      <c r="C11" s="264"/>
      <c r="D11" s="264"/>
      <c r="E11" s="264"/>
      <c r="F11" s="264"/>
      <c r="G11" s="264"/>
      <c r="H11" s="264"/>
      <c r="I11" s="264"/>
      <c r="J11" s="264"/>
      <c r="K11" s="264"/>
    </row>
    <row r="12" spans="1:11" ht="29.15" customHeight="1" x14ac:dyDescent="0.35">
      <c r="A12" s="264"/>
      <c r="B12" s="264"/>
      <c r="C12" s="264"/>
      <c r="D12" s="264"/>
      <c r="E12" s="264"/>
      <c r="F12" s="264"/>
      <c r="G12" s="264"/>
      <c r="H12" s="264"/>
      <c r="I12" s="264"/>
      <c r="J12" s="264"/>
      <c r="K12" s="264"/>
    </row>
    <row r="13" spans="1:11" s="97" customFormat="1" ht="60.75" customHeight="1" x14ac:dyDescent="0.35">
      <c r="A13" s="146" t="s">
        <v>0</v>
      </c>
      <c r="B13" s="146" t="s">
        <v>1</v>
      </c>
      <c r="C13" s="147" t="s">
        <v>12</v>
      </c>
      <c r="D13" s="147" t="s">
        <v>13</v>
      </c>
      <c r="E13" s="146" t="s">
        <v>2</v>
      </c>
      <c r="F13" s="148" t="s">
        <v>3</v>
      </c>
      <c r="G13" s="146" t="s">
        <v>4</v>
      </c>
      <c r="H13" s="149" t="s">
        <v>5</v>
      </c>
      <c r="I13" s="150" t="s">
        <v>14</v>
      </c>
      <c r="J13" s="150" t="s">
        <v>10</v>
      </c>
      <c r="K13" s="150" t="s">
        <v>9</v>
      </c>
    </row>
    <row r="14" spans="1:11" s="51" customFormat="1" ht="45.75" customHeight="1" x14ac:dyDescent="0.35">
      <c r="A14" s="2" t="s">
        <v>99</v>
      </c>
      <c r="B14" s="2" t="s">
        <v>142</v>
      </c>
      <c r="C14" s="1" t="s">
        <v>55</v>
      </c>
      <c r="D14" s="1" t="s">
        <v>56</v>
      </c>
      <c r="E14" s="9" t="s">
        <v>57</v>
      </c>
      <c r="F14" s="10"/>
      <c r="G14" s="10"/>
      <c r="H14" s="12">
        <f>4445270.7+1176780+22009.2+321.49+3562010+313.55-61440.17+655</f>
        <v>9145919.7700000014</v>
      </c>
      <c r="I14" s="2" t="s">
        <v>143</v>
      </c>
      <c r="J14" s="2" t="s">
        <v>696</v>
      </c>
      <c r="K14" s="2" t="s">
        <v>144</v>
      </c>
    </row>
    <row r="15" spans="1:11" s="51" customFormat="1" ht="66" customHeight="1" x14ac:dyDescent="0.35">
      <c r="A15" s="2" t="s">
        <v>151</v>
      </c>
      <c r="B15" s="7" t="s">
        <v>207</v>
      </c>
      <c r="C15" s="1" t="s">
        <v>55</v>
      </c>
      <c r="D15" s="1" t="s">
        <v>56</v>
      </c>
      <c r="E15" s="9" t="s">
        <v>57</v>
      </c>
      <c r="F15" s="10"/>
      <c r="G15" s="10"/>
      <c r="H15" s="12">
        <f>82005.52*6+85151.52+85695.77+85695.77+85695.77</f>
        <v>834271.95000000007</v>
      </c>
      <c r="I15" s="7" t="s">
        <v>208</v>
      </c>
      <c r="J15" s="7" t="s">
        <v>697</v>
      </c>
      <c r="K15" s="7" t="s">
        <v>144</v>
      </c>
    </row>
    <row r="16" spans="1:11" s="51" customFormat="1" ht="43.5" customHeight="1" x14ac:dyDescent="0.35">
      <c r="A16" s="2" t="s">
        <v>209</v>
      </c>
      <c r="B16" s="7" t="s">
        <v>210</v>
      </c>
      <c r="C16" s="1" t="s">
        <v>55</v>
      </c>
      <c r="D16" s="1" t="s">
        <v>56</v>
      </c>
      <c r="E16" s="9" t="s">
        <v>57</v>
      </c>
      <c r="F16" s="10"/>
      <c r="G16" s="10"/>
      <c r="H16" s="12">
        <f>39872.09*2+59808.14*4+30701.44+29106.7+81339.03</f>
        <v>460123.91000000003</v>
      </c>
      <c r="I16" s="7" t="s">
        <v>208</v>
      </c>
      <c r="J16" s="2" t="s">
        <v>698</v>
      </c>
      <c r="K16" s="2" t="s">
        <v>211</v>
      </c>
    </row>
    <row r="17" spans="1:11" s="51" customFormat="1" ht="43.5" customHeight="1" x14ac:dyDescent="0.35">
      <c r="A17" s="2" t="s">
        <v>361</v>
      </c>
      <c r="B17" s="2" t="s">
        <v>401</v>
      </c>
      <c r="C17" s="1" t="s">
        <v>55</v>
      </c>
      <c r="D17" s="1" t="s">
        <v>56</v>
      </c>
      <c r="E17" s="9" t="s">
        <v>57</v>
      </c>
      <c r="F17" s="10"/>
      <c r="G17" s="10"/>
      <c r="H17" s="12">
        <f>467400+198907.2+252532.8</f>
        <v>918840</v>
      </c>
      <c r="I17" s="2" t="s">
        <v>208</v>
      </c>
      <c r="J17" s="2" t="s">
        <v>402</v>
      </c>
      <c r="K17" s="2" t="s">
        <v>555</v>
      </c>
    </row>
    <row r="18" spans="1:11" s="51" customFormat="1" ht="43.5" customHeight="1" x14ac:dyDescent="0.35">
      <c r="A18" s="2" t="s">
        <v>360</v>
      </c>
      <c r="B18" s="2" t="s">
        <v>407</v>
      </c>
      <c r="C18" s="1" t="s">
        <v>55</v>
      </c>
      <c r="D18" s="1" t="s">
        <v>56</v>
      </c>
      <c r="E18" s="9" t="s">
        <v>57</v>
      </c>
      <c r="F18" s="10"/>
      <c r="G18" s="10"/>
      <c r="H18" s="12">
        <f>550000*2+522434+608044.7</f>
        <v>2230478.7000000002</v>
      </c>
      <c r="I18" s="2" t="s">
        <v>208</v>
      </c>
      <c r="J18" s="2" t="s">
        <v>407</v>
      </c>
      <c r="K18" s="2" t="s">
        <v>408</v>
      </c>
    </row>
    <row r="19" spans="1:11" s="51" customFormat="1" ht="43.5" customHeight="1" x14ac:dyDescent="0.35">
      <c r="A19" s="2" t="s">
        <v>362</v>
      </c>
      <c r="B19" s="7" t="s">
        <v>207</v>
      </c>
      <c r="C19" s="1" t="s">
        <v>397</v>
      </c>
      <c r="D19" s="1" t="s">
        <v>398</v>
      </c>
      <c r="E19" s="9" t="s">
        <v>399</v>
      </c>
      <c r="F19" s="10"/>
      <c r="G19" s="10"/>
      <c r="H19" s="12">
        <v>573055.01</v>
      </c>
      <c r="I19" s="7" t="s">
        <v>208</v>
      </c>
      <c r="J19" s="7" t="s">
        <v>699</v>
      </c>
      <c r="K19" s="7" t="s">
        <v>400</v>
      </c>
    </row>
    <row r="20" spans="1:11" s="51" customFormat="1" ht="43.5" customHeight="1" x14ac:dyDescent="0.35">
      <c r="A20" s="2" t="s">
        <v>431</v>
      </c>
      <c r="B20" s="7" t="s">
        <v>428</v>
      </c>
      <c r="C20" s="1" t="s">
        <v>55</v>
      </c>
      <c r="D20" s="1" t="s">
        <v>56</v>
      </c>
      <c r="E20" s="9" t="s">
        <v>57</v>
      </c>
      <c r="F20" s="10"/>
      <c r="G20" s="10"/>
      <c r="H20" s="12">
        <f>13184+16873</f>
        <v>30057</v>
      </c>
      <c r="I20" s="7" t="s">
        <v>208</v>
      </c>
      <c r="J20" s="7" t="s">
        <v>700</v>
      </c>
      <c r="K20" s="7"/>
    </row>
    <row r="21" spans="1:11" s="51" customFormat="1" ht="43.5" customHeight="1" x14ac:dyDescent="0.35">
      <c r="A21" s="2" t="s">
        <v>432</v>
      </c>
      <c r="B21" s="7" t="s">
        <v>428</v>
      </c>
      <c r="C21" s="1" t="s">
        <v>55</v>
      </c>
      <c r="D21" s="1" t="s">
        <v>56</v>
      </c>
      <c r="E21" s="9" t="s">
        <v>57</v>
      </c>
      <c r="F21" s="10"/>
      <c r="G21" s="10"/>
      <c r="H21" s="12">
        <f>16480+13184+17793</f>
        <v>47457</v>
      </c>
      <c r="I21" s="7" t="s">
        <v>208</v>
      </c>
      <c r="J21" s="7" t="s">
        <v>700</v>
      </c>
      <c r="K21" s="7"/>
    </row>
    <row r="22" spans="1:11" s="51" customFormat="1" ht="43.5" customHeight="1" x14ac:dyDescent="0.35">
      <c r="A22" s="2" t="s">
        <v>430</v>
      </c>
      <c r="B22" s="7" t="s">
        <v>428</v>
      </c>
      <c r="C22" s="1" t="s">
        <v>55</v>
      </c>
      <c r="D22" s="1" t="s">
        <v>56</v>
      </c>
      <c r="E22" s="9" t="s">
        <v>57</v>
      </c>
      <c r="F22" s="10"/>
      <c r="G22" s="10"/>
      <c r="H22" s="12">
        <f>13184+21588</f>
        <v>34772</v>
      </c>
      <c r="I22" s="7" t="s">
        <v>208</v>
      </c>
      <c r="J22" s="7" t="s">
        <v>700</v>
      </c>
      <c r="K22" s="7"/>
    </row>
    <row r="23" spans="1:11" s="51" customFormat="1" ht="43.5" customHeight="1" x14ac:dyDescent="0.35">
      <c r="A23" s="2" t="s">
        <v>429</v>
      </c>
      <c r="B23" s="7" t="s">
        <v>428</v>
      </c>
      <c r="C23" s="1" t="s">
        <v>55</v>
      </c>
      <c r="D23" s="1" t="s">
        <v>56</v>
      </c>
      <c r="E23" s="9" t="s">
        <v>57</v>
      </c>
      <c r="F23" s="10"/>
      <c r="G23" s="10"/>
      <c r="H23" s="12">
        <f>16696+20870+6202</f>
        <v>43768</v>
      </c>
      <c r="I23" s="7" t="s">
        <v>208</v>
      </c>
      <c r="J23" s="7" t="s">
        <v>700</v>
      </c>
      <c r="K23" s="7"/>
    </row>
    <row r="24" spans="1:11" s="51" customFormat="1" ht="43.5" customHeight="1" x14ac:dyDescent="0.35">
      <c r="A24" s="2" t="s">
        <v>496</v>
      </c>
      <c r="B24" s="7" t="s">
        <v>513</v>
      </c>
      <c r="C24" s="1" t="s">
        <v>514</v>
      </c>
      <c r="D24" s="1" t="s">
        <v>515</v>
      </c>
      <c r="E24" s="9" t="s">
        <v>483</v>
      </c>
      <c r="F24" s="10"/>
      <c r="G24" s="10"/>
      <c r="H24" s="12">
        <f>178203+70776</f>
        <v>248979</v>
      </c>
      <c r="I24" s="7" t="s">
        <v>208</v>
      </c>
      <c r="J24" s="7" t="s">
        <v>516</v>
      </c>
      <c r="K24" s="7" t="s">
        <v>400</v>
      </c>
    </row>
    <row r="25" spans="1:11" s="51" customFormat="1" ht="87.5" x14ac:dyDescent="0.35">
      <c r="A25" s="2" t="s">
        <v>590</v>
      </c>
      <c r="B25" s="7" t="s">
        <v>604</v>
      </c>
      <c r="C25" s="1" t="s">
        <v>605</v>
      </c>
      <c r="D25" s="1" t="s">
        <v>606</v>
      </c>
      <c r="E25" s="9" t="s">
        <v>57</v>
      </c>
      <c r="F25" s="10"/>
      <c r="G25" s="10"/>
      <c r="H25" s="12">
        <f>1136610+313.65-1004.9</f>
        <v>1135918.75</v>
      </c>
      <c r="I25" s="7" t="s">
        <v>208</v>
      </c>
      <c r="J25" s="7" t="s">
        <v>604</v>
      </c>
      <c r="K25" s="7" t="s">
        <v>144</v>
      </c>
    </row>
    <row r="26" spans="1:11" s="47" customFormat="1" ht="42" customHeight="1" x14ac:dyDescent="0.35">
      <c r="A26" s="46" t="s">
        <v>6</v>
      </c>
      <c r="B26" s="11"/>
      <c r="C26" s="11"/>
      <c r="D26" s="11"/>
      <c r="E26" s="5"/>
      <c r="F26" s="19"/>
      <c r="G26" s="5"/>
      <c r="H26" s="76">
        <f>SUM(H14:H25)</f>
        <v>15703641.090000002</v>
      </c>
      <c r="I26" s="11"/>
      <c r="J26" s="11"/>
      <c r="K26" s="11"/>
    </row>
    <row r="27" spans="1:11" s="47" customFormat="1" ht="29.15" customHeight="1" x14ac:dyDescent="0.35">
      <c r="A27" s="268"/>
      <c r="B27" s="268"/>
      <c r="C27" s="268"/>
      <c r="D27" s="268"/>
      <c r="E27" s="268"/>
      <c r="F27" s="268"/>
      <c r="G27" s="268"/>
      <c r="H27" s="268"/>
      <c r="I27" s="268"/>
      <c r="J27" s="268"/>
      <c r="K27" s="268"/>
    </row>
    <row r="28" spans="1:11" s="47" customFormat="1" ht="51" customHeight="1" x14ac:dyDescent="0.35">
      <c r="A28" s="270" t="s">
        <v>26</v>
      </c>
      <c r="B28" s="270"/>
      <c r="C28" s="270"/>
      <c r="D28" s="270"/>
      <c r="E28" s="270"/>
      <c r="F28" s="270"/>
      <c r="G28" s="270"/>
      <c r="H28" s="270"/>
      <c r="I28" s="270"/>
      <c r="J28" s="270"/>
      <c r="K28" s="270"/>
    </row>
    <row r="29" spans="1:11" s="47" customFormat="1" ht="47.25" customHeight="1" x14ac:dyDescent="0.35">
      <c r="A29" s="41" t="s">
        <v>0</v>
      </c>
      <c r="B29" s="151" t="s">
        <v>1</v>
      </c>
      <c r="C29" s="150" t="s">
        <v>12</v>
      </c>
      <c r="D29" s="150" t="s">
        <v>13</v>
      </c>
      <c r="E29" s="151" t="s">
        <v>2</v>
      </c>
      <c r="F29" s="152" t="s">
        <v>3</v>
      </c>
      <c r="G29" s="151" t="s">
        <v>4</v>
      </c>
      <c r="H29" s="76" t="s">
        <v>7</v>
      </c>
      <c r="I29" s="150" t="s">
        <v>14</v>
      </c>
      <c r="J29" s="150" t="s">
        <v>10</v>
      </c>
      <c r="K29" s="150" t="s">
        <v>9</v>
      </c>
    </row>
    <row r="30" spans="1:11" s="51" customFormat="1" ht="49.5" customHeight="1" x14ac:dyDescent="0.35">
      <c r="A30" s="31"/>
      <c r="B30" s="15"/>
      <c r="C30" s="32"/>
      <c r="D30" s="33"/>
      <c r="E30" s="16"/>
      <c r="F30" s="183"/>
      <c r="G30" s="183"/>
      <c r="H30" s="21">
        <v>0</v>
      </c>
      <c r="I30" s="7"/>
      <c r="J30" s="7"/>
      <c r="K30" s="7"/>
    </row>
    <row r="31" spans="1:11" s="51" customFormat="1" ht="49.5" customHeight="1" x14ac:dyDescent="0.35">
      <c r="A31" s="2"/>
      <c r="B31" s="2"/>
      <c r="C31" s="1"/>
      <c r="D31" s="1"/>
      <c r="E31" s="9"/>
      <c r="F31" s="37"/>
      <c r="G31" s="42"/>
      <c r="H31" s="12"/>
      <c r="I31" s="2"/>
      <c r="J31" s="2"/>
      <c r="K31" s="2"/>
    </row>
    <row r="32" spans="1:11" s="51" customFormat="1" ht="49.5" customHeight="1" x14ac:dyDescent="0.35">
      <c r="A32" s="46" t="s">
        <v>6</v>
      </c>
      <c r="B32" s="11"/>
      <c r="C32" s="11"/>
      <c r="D32" s="11"/>
      <c r="E32" s="5"/>
      <c r="F32" s="19"/>
      <c r="G32" s="5"/>
      <c r="H32" s="76">
        <f>SUM(H30:H31)</f>
        <v>0</v>
      </c>
      <c r="I32" s="11"/>
      <c r="J32" s="11"/>
      <c r="K32" s="11"/>
    </row>
    <row r="33" spans="1:11" s="47" customFormat="1" ht="29.15" customHeight="1" x14ac:dyDescent="0.35">
      <c r="B33" s="40"/>
      <c r="C33" s="40"/>
      <c r="D33" s="40"/>
      <c r="E33" s="137"/>
      <c r="F33" s="51"/>
      <c r="G33" s="137"/>
      <c r="H33" s="52"/>
      <c r="I33" s="40"/>
      <c r="J33" s="40"/>
      <c r="K33" s="40"/>
    </row>
    <row r="34" spans="1:11" s="51" customFormat="1" ht="43.5" customHeight="1" x14ac:dyDescent="0.35">
      <c r="A34" s="268"/>
      <c r="B34" s="268"/>
      <c r="C34" s="268"/>
      <c r="D34" s="268"/>
      <c r="E34" s="268"/>
      <c r="F34" s="268"/>
      <c r="G34" s="268"/>
      <c r="H34" s="268"/>
      <c r="I34" s="268"/>
      <c r="J34" s="268"/>
      <c r="K34" s="268"/>
    </row>
    <row r="35" spans="1:11" s="103" customFormat="1" ht="46.5" customHeight="1" x14ac:dyDescent="0.35">
      <c r="A35" s="268" t="s">
        <v>27</v>
      </c>
      <c r="B35" s="268"/>
      <c r="C35" s="268"/>
      <c r="D35" s="268"/>
      <c r="E35" s="268"/>
      <c r="F35" s="268"/>
      <c r="G35" s="268"/>
      <c r="H35" s="268"/>
      <c r="I35" s="268"/>
      <c r="J35" s="268"/>
      <c r="K35" s="268"/>
    </row>
    <row r="36" spans="1:11" s="103" customFormat="1" ht="36" customHeight="1" x14ac:dyDescent="0.35">
      <c r="A36" s="151" t="s">
        <v>0</v>
      </c>
      <c r="B36" s="151" t="s">
        <v>1</v>
      </c>
      <c r="C36" s="150" t="s">
        <v>12</v>
      </c>
      <c r="D36" s="150" t="s">
        <v>13</v>
      </c>
      <c r="E36" s="151" t="s">
        <v>2</v>
      </c>
      <c r="F36" s="152" t="s">
        <v>3</v>
      </c>
      <c r="G36" s="151" t="s">
        <v>4</v>
      </c>
      <c r="H36" s="76" t="s">
        <v>7</v>
      </c>
      <c r="I36" s="150" t="s">
        <v>14</v>
      </c>
      <c r="J36" s="150" t="s">
        <v>10</v>
      </c>
      <c r="K36" s="150" t="s">
        <v>9</v>
      </c>
    </row>
    <row r="37" spans="1:11" s="115" customFormat="1" ht="36" customHeight="1" x14ac:dyDescent="0.35">
      <c r="A37" s="48"/>
      <c r="B37" s="48"/>
      <c r="C37" s="190"/>
      <c r="D37" s="190"/>
      <c r="E37" s="48"/>
      <c r="F37" s="49"/>
      <c r="G37" s="48"/>
      <c r="H37" s="38">
        <v>0</v>
      </c>
      <c r="I37" s="190"/>
      <c r="J37" s="190"/>
      <c r="K37" s="190"/>
    </row>
    <row r="38" spans="1:11" s="51" customFormat="1" ht="42.75" customHeight="1" x14ac:dyDescent="0.35">
      <c r="A38" s="31"/>
      <c r="B38" s="2"/>
      <c r="C38" s="32"/>
      <c r="D38" s="33"/>
      <c r="E38" s="34"/>
      <c r="F38" s="183"/>
      <c r="G38" s="183"/>
      <c r="H38" s="21"/>
      <c r="I38" s="7"/>
      <c r="J38" s="7"/>
      <c r="K38" s="19"/>
    </row>
    <row r="39" spans="1:11" s="51" customFormat="1" ht="49.5" customHeight="1" x14ac:dyDescent="0.35">
      <c r="A39" s="54" t="s">
        <v>6</v>
      </c>
      <c r="B39" s="4"/>
      <c r="C39" s="4"/>
      <c r="D39" s="4"/>
      <c r="E39" s="5"/>
      <c r="F39" s="19"/>
      <c r="G39" s="20"/>
      <c r="H39" s="76">
        <f>SUM(H37:H38)</f>
        <v>0</v>
      </c>
      <c r="I39" s="11"/>
      <c r="J39" s="11"/>
      <c r="K39" s="11"/>
    </row>
    <row r="40" spans="1:11" s="103" customFormat="1" ht="33" customHeight="1" x14ac:dyDescent="0.35">
      <c r="A40" s="269"/>
      <c r="B40" s="269"/>
      <c r="C40" s="269"/>
      <c r="D40" s="269"/>
      <c r="E40" s="269"/>
      <c r="F40" s="269"/>
      <c r="G40" s="269"/>
      <c r="H40" s="269"/>
      <c r="I40" s="269"/>
      <c r="J40" s="269"/>
      <c r="K40" s="269"/>
    </row>
    <row r="41" spans="1:11" s="103" customFormat="1" ht="38.25" customHeight="1" x14ac:dyDescent="0.35">
      <c r="A41" s="262" t="s">
        <v>17</v>
      </c>
      <c r="B41" s="262"/>
      <c r="C41" s="262"/>
      <c r="D41" s="262"/>
      <c r="E41" s="262"/>
      <c r="F41" s="262"/>
      <c r="G41" s="262"/>
      <c r="H41" s="262"/>
      <c r="I41" s="262"/>
      <c r="J41" s="262"/>
      <c r="K41" s="262"/>
    </row>
    <row r="42" spans="1:11" s="51" customFormat="1" ht="45.75" customHeight="1" x14ac:dyDescent="0.35">
      <c r="A42" s="151" t="s">
        <v>0</v>
      </c>
      <c r="B42" s="151" t="s">
        <v>1</v>
      </c>
      <c r="C42" s="150" t="s">
        <v>12</v>
      </c>
      <c r="D42" s="150" t="s">
        <v>13</v>
      </c>
      <c r="E42" s="151" t="s">
        <v>2</v>
      </c>
      <c r="F42" s="152" t="s">
        <v>3</v>
      </c>
      <c r="G42" s="151" t="s">
        <v>4</v>
      </c>
      <c r="H42" s="76" t="s">
        <v>7</v>
      </c>
      <c r="I42" s="150" t="s">
        <v>14</v>
      </c>
      <c r="J42" s="150" t="s">
        <v>10</v>
      </c>
      <c r="K42" s="150" t="s">
        <v>9</v>
      </c>
    </row>
    <row r="43" spans="1:11" s="51" customFormat="1" ht="48.75" customHeight="1" x14ac:dyDescent="0.35">
      <c r="A43" s="31" t="s">
        <v>62</v>
      </c>
      <c r="B43" s="2" t="s">
        <v>693</v>
      </c>
      <c r="C43" s="32" t="s">
        <v>55</v>
      </c>
      <c r="D43" s="33" t="s">
        <v>56</v>
      </c>
      <c r="E43" s="34" t="s">
        <v>57</v>
      </c>
      <c r="F43" s="183"/>
      <c r="G43" s="183"/>
      <c r="H43" s="21">
        <v>9160.7000000000007</v>
      </c>
      <c r="I43" s="7" t="s">
        <v>63</v>
      </c>
      <c r="J43" s="7" t="s">
        <v>701</v>
      </c>
      <c r="K43" s="7"/>
    </row>
    <row r="44" spans="1:11" s="51" customFormat="1" ht="49.5" customHeight="1" x14ac:dyDescent="0.35">
      <c r="A44" s="54" t="s">
        <v>6</v>
      </c>
      <c r="B44" s="4"/>
      <c r="C44" s="4"/>
      <c r="D44" s="4"/>
      <c r="E44" s="5"/>
      <c r="F44" s="19"/>
      <c r="G44" s="5"/>
      <c r="H44" s="76">
        <f>SUM(H43:H43)</f>
        <v>9160.7000000000007</v>
      </c>
      <c r="I44" s="11"/>
      <c r="J44" s="11"/>
      <c r="K44" s="19"/>
    </row>
    <row r="45" spans="1:11" s="51" customFormat="1" ht="33" customHeight="1" x14ac:dyDescent="0.35">
      <c r="A45" s="269"/>
      <c r="B45" s="269"/>
      <c r="C45" s="269"/>
      <c r="D45" s="269"/>
      <c r="E45" s="269"/>
      <c r="F45" s="269"/>
      <c r="G45" s="269"/>
      <c r="H45" s="269"/>
      <c r="I45" s="269"/>
      <c r="J45" s="269"/>
      <c r="K45" s="269"/>
    </row>
    <row r="46" spans="1:11" s="51" customFormat="1" ht="55.5" customHeight="1" x14ac:dyDescent="0.35">
      <c r="A46" s="264" t="s">
        <v>18</v>
      </c>
      <c r="B46" s="264"/>
      <c r="C46" s="264"/>
      <c r="D46" s="264"/>
      <c r="E46" s="264"/>
      <c r="F46" s="264"/>
      <c r="G46" s="264"/>
      <c r="H46" s="264"/>
      <c r="I46" s="264"/>
      <c r="J46" s="264"/>
      <c r="K46" s="264"/>
    </row>
    <row r="47" spans="1:11" s="51" customFormat="1" ht="43.5" customHeight="1" x14ac:dyDescent="0.35">
      <c r="A47" s="151" t="s">
        <v>0</v>
      </c>
      <c r="B47" s="151" t="s">
        <v>1</v>
      </c>
      <c r="C47" s="150" t="s">
        <v>12</v>
      </c>
      <c r="D47" s="150" t="s">
        <v>13</v>
      </c>
      <c r="E47" s="151" t="s">
        <v>2</v>
      </c>
      <c r="F47" s="152" t="s">
        <v>3</v>
      </c>
      <c r="G47" s="151" t="s">
        <v>4</v>
      </c>
      <c r="H47" s="76" t="s">
        <v>7</v>
      </c>
      <c r="I47" s="150" t="s">
        <v>14</v>
      </c>
      <c r="J47" s="150" t="s">
        <v>10</v>
      </c>
      <c r="K47" s="150" t="s">
        <v>9</v>
      </c>
    </row>
    <row r="48" spans="1:11" s="51" customFormat="1" ht="47.25" customHeight="1" x14ac:dyDescent="0.35">
      <c r="A48" s="7"/>
      <c r="B48" s="7" t="s">
        <v>704</v>
      </c>
      <c r="C48" s="69" t="s">
        <v>50</v>
      </c>
      <c r="D48" s="69"/>
      <c r="E48" s="25"/>
      <c r="F48" s="183"/>
      <c r="G48" s="183"/>
      <c r="H48" s="21">
        <v>1848.85</v>
      </c>
      <c r="I48" s="7" t="s">
        <v>702</v>
      </c>
      <c r="J48" s="7" t="s">
        <v>703</v>
      </c>
      <c r="K48" s="7"/>
    </row>
    <row r="49" spans="1:11" s="97" customFormat="1" ht="34.5" customHeight="1" x14ac:dyDescent="0.35">
      <c r="A49" s="7" t="s">
        <v>506</v>
      </c>
      <c r="B49" s="7" t="s">
        <v>318</v>
      </c>
      <c r="C49" s="69" t="s">
        <v>50</v>
      </c>
      <c r="D49" s="69"/>
      <c r="E49" s="25"/>
      <c r="F49" s="183"/>
      <c r="G49" s="183"/>
      <c r="H49" s="21">
        <f>2550</f>
        <v>2550</v>
      </c>
      <c r="I49" s="7" t="s">
        <v>178</v>
      </c>
      <c r="J49" s="7"/>
      <c r="K49" s="7"/>
    </row>
    <row r="50" spans="1:11" ht="34.5" customHeight="1" x14ac:dyDescent="0.35">
      <c r="A50" s="46" t="s">
        <v>6</v>
      </c>
      <c r="B50" s="11"/>
      <c r="C50" s="11"/>
      <c r="D50" s="11"/>
      <c r="E50" s="5"/>
      <c r="F50" s="19"/>
      <c r="G50" s="5"/>
      <c r="H50" s="76">
        <f>SUM(H48:H49)</f>
        <v>4398.8500000000004</v>
      </c>
      <c r="I50" s="11"/>
      <c r="J50" s="11"/>
      <c r="K50" s="11"/>
    </row>
    <row r="51" spans="1:11" ht="43.5" customHeight="1" x14ac:dyDescent="0.35">
      <c r="A51" s="117"/>
      <c r="B51" s="118"/>
      <c r="C51" s="118"/>
      <c r="D51" s="118"/>
      <c r="E51" s="186"/>
      <c r="F51" s="47"/>
      <c r="G51" s="186"/>
      <c r="H51" s="194"/>
      <c r="I51" s="40"/>
      <c r="J51" s="40"/>
      <c r="K51" s="51"/>
    </row>
    <row r="52" spans="1:11" ht="49.5" customHeight="1" x14ac:dyDescent="0.35">
      <c r="A52" s="264" t="s">
        <v>19</v>
      </c>
      <c r="B52" s="264"/>
      <c r="C52" s="264"/>
      <c r="D52" s="264"/>
      <c r="E52" s="264"/>
      <c r="F52" s="264"/>
      <c r="G52" s="264"/>
      <c r="H52" s="264"/>
      <c r="I52" s="264"/>
      <c r="J52" s="264"/>
      <c r="K52" s="264"/>
    </row>
    <row r="53" spans="1:11" ht="45" customHeight="1" x14ac:dyDescent="0.35">
      <c r="A53" s="151" t="s">
        <v>0</v>
      </c>
      <c r="B53" s="151" t="s">
        <v>1</v>
      </c>
      <c r="C53" s="150" t="s">
        <v>12</v>
      </c>
      <c r="D53" s="150" t="s">
        <v>13</v>
      </c>
      <c r="E53" s="151" t="s">
        <v>2</v>
      </c>
      <c r="F53" s="152" t="s">
        <v>3</v>
      </c>
      <c r="G53" s="151" t="s">
        <v>4</v>
      </c>
      <c r="H53" s="156" t="s">
        <v>7</v>
      </c>
      <c r="I53" s="150" t="s">
        <v>14</v>
      </c>
      <c r="J53" s="150" t="s">
        <v>10</v>
      </c>
      <c r="K53" s="150" t="s">
        <v>9</v>
      </c>
    </row>
    <row r="54" spans="1:11" ht="44.25" customHeight="1" x14ac:dyDescent="0.35">
      <c r="A54" s="7"/>
      <c r="B54" s="7"/>
      <c r="C54" s="69"/>
      <c r="D54" s="69"/>
      <c r="E54" s="25"/>
      <c r="F54" s="49"/>
      <c r="G54" s="48"/>
      <c r="H54" s="159">
        <v>0</v>
      </c>
      <c r="I54" s="7"/>
      <c r="J54" s="7"/>
      <c r="K54" s="7"/>
    </row>
    <row r="55" spans="1:11" ht="44.25" customHeight="1" x14ac:dyDescent="0.35">
      <c r="A55" s="7"/>
      <c r="B55" s="7"/>
      <c r="C55" s="69"/>
      <c r="D55" s="69"/>
      <c r="E55" s="25"/>
      <c r="F55" s="49"/>
      <c r="G55" s="48"/>
      <c r="H55" s="159"/>
      <c r="I55" s="7"/>
      <c r="J55" s="7"/>
      <c r="K55" s="7"/>
    </row>
    <row r="56" spans="1:11" ht="44.25" customHeight="1" x14ac:dyDescent="0.35">
      <c r="A56" s="46" t="s">
        <v>6</v>
      </c>
      <c r="B56" s="11"/>
      <c r="C56" s="11"/>
      <c r="D56" s="11"/>
      <c r="E56" s="5"/>
      <c r="F56" s="19"/>
      <c r="G56" s="5"/>
      <c r="H56" s="156">
        <f>SUM(H54:H54)</f>
        <v>0</v>
      </c>
      <c r="I56" s="11"/>
      <c r="J56" s="11"/>
      <c r="K56" s="11"/>
    </row>
    <row r="57" spans="1:11" ht="27" customHeight="1" x14ac:dyDescent="0.35">
      <c r="A57" s="273"/>
      <c r="B57" s="273"/>
      <c r="C57" s="273"/>
      <c r="D57" s="273"/>
      <c r="E57" s="273"/>
      <c r="F57" s="273"/>
      <c r="G57" s="273"/>
      <c r="H57" s="273"/>
      <c r="I57" s="273"/>
      <c r="J57" s="273"/>
      <c r="K57" s="273"/>
    </row>
    <row r="58" spans="1:11" ht="30.75" customHeight="1" x14ac:dyDescent="0.35">
      <c r="A58" s="265"/>
      <c r="B58" s="265"/>
      <c r="C58" s="265"/>
      <c r="D58" s="265"/>
      <c r="E58" s="265"/>
      <c r="F58" s="265"/>
      <c r="G58" s="265"/>
      <c r="H58" s="265"/>
      <c r="I58" s="265"/>
      <c r="J58" s="265"/>
      <c r="K58" s="265"/>
    </row>
    <row r="59" spans="1:11" s="200" customFormat="1" ht="51.75" customHeight="1" x14ac:dyDescent="0.35">
      <c r="A59" s="189" t="s">
        <v>8</v>
      </c>
      <c r="B59" s="195"/>
      <c r="C59" s="195"/>
      <c r="D59" s="195"/>
      <c r="E59" s="196"/>
      <c r="F59" s="197"/>
      <c r="G59" s="196"/>
      <c r="H59" s="202">
        <f>+H56+H50+H44+H39+H32+H26</f>
        <v>15717200.640000002</v>
      </c>
      <c r="I59" s="198"/>
      <c r="J59" s="198"/>
      <c r="K59" s="199"/>
    </row>
  </sheetData>
  <mergeCells count="16">
    <mergeCell ref="A1:H1"/>
    <mergeCell ref="A8:K8"/>
    <mergeCell ref="A9:K9"/>
    <mergeCell ref="A12:K12"/>
    <mergeCell ref="A57:K58"/>
    <mergeCell ref="A10:K10"/>
    <mergeCell ref="A28:K28"/>
    <mergeCell ref="A34:K34"/>
    <mergeCell ref="A35:K35"/>
    <mergeCell ref="A40:K40"/>
    <mergeCell ref="A41:K41"/>
    <mergeCell ref="A45:K45"/>
    <mergeCell ref="A46:K46"/>
    <mergeCell ref="A27:K27"/>
    <mergeCell ref="A11:K11"/>
    <mergeCell ref="A52:K52"/>
  </mergeCells>
  <pageMargins left="0.7" right="0.7" top="0.75" bottom="0.75" header="0.3" footer="0.3"/>
  <pageSetup paperSize="8" scale="51" orientation="landscape" r:id="rId1"/>
  <rowBreaks count="1" manualBreakCount="1">
    <brk id="33"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view="pageBreakPreview" zoomScale="60" zoomScaleNormal="70" workbookViewId="0">
      <selection activeCell="J1" sqref="J1"/>
    </sheetView>
  </sheetViews>
  <sheetFormatPr defaultColWidth="9.1796875" defaultRowHeight="17.5" x14ac:dyDescent="0.35"/>
  <cols>
    <col min="1" max="1" width="58.26953125" style="29" customWidth="1"/>
    <col min="2" max="2" width="62.453125" style="61" customWidth="1"/>
    <col min="3" max="3" width="20.54296875" style="61" customWidth="1"/>
    <col min="4" max="4" width="18.1796875" style="61" bestFit="1" customWidth="1"/>
    <col min="5" max="5" width="16.81640625" style="60" customWidth="1"/>
    <col min="6" max="6" width="13.1796875" style="29" customWidth="1"/>
    <col min="7" max="7" width="12.81640625" style="60" customWidth="1"/>
    <col min="8" max="8" width="25.54296875" style="178" customWidth="1"/>
    <col min="9" max="9" width="40.81640625" style="61" customWidth="1"/>
    <col min="10" max="10" width="65.54296875" style="61" customWidth="1"/>
    <col min="11" max="11" width="21.1796875" style="29" customWidth="1"/>
    <col min="12" max="12" width="9.1796875" style="29"/>
    <col min="13" max="13" width="15.26953125" style="29" bestFit="1" customWidth="1"/>
    <col min="14" max="16384" width="9.1796875" style="29"/>
  </cols>
  <sheetData>
    <row r="1" spans="1:14" s="27" customFormat="1" ht="18" x14ac:dyDescent="0.35">
      <c r="A1" s="262"/>
      <c r="B1" s="262"/>
      <c r="C1" s="262"/>
      <c r="D1" s="262"/>
      <c r="E1" s="262"/>
      <c r="F1" s="262"/>
      <c r="G1" s="262"/>
      <c r="H1" s="262"/>
      <c r="I1" s="26"/>
      <c r="J1" s="26"/>
    </row>
    <row r="2" spans="1:14" s="27" customFormat="1" ht="18" x14ac:dyDescent="0.35">
      <c r="A2" s="28"/>
      <c r="B2" s="28"/>
      <c r="C2" s="28"/>
      <c r="D2" s="28"/>
      <c r="E2" s="28"/>
      <c r="F2" s="28"/>
      <c r="G2" s="28"/>
      <c r="H2" s="154"/>
      <c r="I2" s="26"/>
      <c r="J2" s="26"/>
    </row>
    <row r="3" spans="1:14" s="27" customFormat="1" ht="18" x14ac:dyDescent="0.35">
      <c r="A3" s="28"/>
      <c r="B3" s="28"/>
      <c r="C3" s="28"/>
      <c r="D3" s="28"/>
      <c r="E3" s="28"/>
      <c r="F3" s="28"/>
      <c r="G3" s="28"/>
      <c r="H3" s="154"/>
      <c r="I3" s="26"/>
      <c r="J3" s="26"/>
    </row>
    <row r="4" spans="1:14" s="27" customFormat="1" ht="18" x14ac:dyDescent="0.35">
      <c r="A4" s="28"/>
      <c r="B4" s="28"/>
      <c r="C4" s="28"/>
      <c r="D4" s="28"/>
      <c r="E4" s="28"/>
      <c r="F4" s="28"/>
      <c r="G4" s="28"/>
      <c r="H4" s="154"/>
      <c r="I4" s="26"/>
      <c r="J4" s="26"/>
    </row>
    <row r="5" spans="1:14" s="27" customFormat="1" ht="18" x14ac:dyDescent="0.35">
      <c r="A5" s="28"/>
      <c r="B5" s="28"/>
      <c r="C5" s="28"/>
      <c r="D5" s="28"/>
      <c r="E5" s="28"/>
      <c r="F5" s="28"/>
      <c r="G5" s="28"/>
      <c r="H5" s="154"/>
      <c r="I5" s="26"/>
      <c r="J5" s="26"/>
    </row>
    <row r="6" spans="1:14" s="27" customFormat="1" ht="18" x14ac:dyDescent="0.35">
      <c r="A6" s="28"/>
      <c r="B6" s="28"/>
      <c r="C6" s="28"/>
      <c r="D6" s="28"/>
      <c r="E6" s="28"/>
      <c r="F6" s="28"/>
      <c r="G6" s="28"/>
      <c r="H6" s="154"/>
      <c r="I6" s="26"/>
      <c r="J6" s="26"/>
    </row>
    <row r="7" spans="1:14" s="27" customFormat="1" ht="18" x14ac:dyDescent="0.35">
      <c r="A7" s="28"/>
      <c r="B7" s="28"/>
      <c r="C7" s="28"/>
      <c r="D7" s="28"/>
      <c r="E7" s="28"/>
      <c r="F7" s="28"/>
      <c r="G7" s="28"/>
      <c r="H7" s="154"/>
      <c r="I7" s="26"/>
      <c r="J7" s="26"/>
    </row>
    <row r="8" spans="1:14" ht="32.25" customHeight="1" x14ac:dyDescent="0.35">
      <c r="A8" s="262"/>
      <c r="B8" s="262"/>
      <c r="C8" s="262"/>
      <c r="D8" s="262"/>
      <c r="E8" s="262"/>
      <c r="F8" s="262"/>
      <c r="G8" s="262"/>
      <c r="H8" s="262"/>
      <c r="I8" s="262"/>
      <c r="J8" s="262"/>
      <c r="K8" s="262"/>
    </row>
    <row r="9" spans="1:14" ht="39.75" customHeight="1" x14ac:dyDescent="0.35">
      <c r="A9" s="263" t="s">
        <v>664</v>
      </c>
      <c r="B9" s="263"/>
      <c r="C9" s="263"/>
      <c r="D9" s="263"/>
      <c r="E9" s="263"/>
      <c r="F9" s="263"/>
      <c r="G9" s="263"/>
      <c r="H9" s="263"/>
      <c r="I9" s="263"/>
      <c r="J9" s="263"/>
      <c r="K9" s="263"/>
    </row>
    <row r="10" spans="1:14" ht="29.15" customHeight="1" x14ac:dyDescent="0.35">
      <c r="A10" s="264"/>
      <c r="B10" s="264"/>
      <c r="C10" s="264"/>
      <c r="D10" s="264"/>
      <c r="E10" s="264"/>
      <c r="F10" s="264"/>
      <c r="G10" s="264"/>
      <c r="H10" s="264"/>
      <c r="I10" s="264"/>
      <c r="J10" s="264"/>
      <c r="K10" s="264"/>
    </row>
    <row r="11" spans="1:14" ht="39.75" customHeight="1" x14ac:dyDescent="0.35">
      <c r="A11" s="264" t="s">
        <v>16</v>
      </c>
      <c r="B11" s="264"/>
      <c r="C11" s="264"/>
      <c r="D11" s="264"/>
      <c r="E11" s="264"/>
      <c r="F11" s="264"/>
      <c r="G11" s="264"/>
      <c r="H11" s="264"/>
      <c r="I11" s="264"/>
      <c r="J11" s="264"/>
      <c r="K11" s="264"/>
      <c r="N11" s="29" t="s">
        <v>15</v>
      </c>
    </row>
    <row r="12" spans="1:14" s="97" customFormat="1" ht="60.75" customHeight="1" x14ac:dyDescent="0.35">
      <c r="A12" s="146" t="s">
        <v>0</v>
      </c>
      <c r="B12" s="146" t="s">
        <v>1</v>
      </c>
      <c r="C12" s="147" t="s">
        <v>12</v>
      </c>
      <c r="D12" s="147" t="s">
        <v>13</v>
      </c>
      <c r="E12" s="146" t="s">
        <v>2</v>
      </c>
      <c r="F12" s="148" t="s">
        <v>3</v>
      </c>
      <c r="G12" s="146" t="s">
        <v>4</v>
      </c>
      <c r="H12" s="155" t="s">
        <v>5</v>
      </c>
      <c r="I12" s="150" t="s">
        <v>14</v>
      </c>
      <c r="J12" s="150" t="s">
        <v>10</v>
      </c>
      <c r="K12" s="150" t="s">
        <v>9</v>
      </c>
    </row>
    <row r="13" spans="1:14" s="97" customFormat="1" ht="61.5" customHeight="1" x14ac:dyDescent="0.35">
      <c r="A13" s="8" t="s">
        <v>59</v>
      </c>
      <c r="B13" s="24" t="s">
        <v>73</v>
      </c>
      <c r="C13" s="43" t="s">
        <v>74</v>
      </c>
      <c r="D13" s="43" t="s">
        <v>75</v>
      </c>
      <c r="E13" s="9" t="s">
        <v>57</v>
      </c>
      <c r="F13" s="182"/>
      <c r="G13" s="182"/>
      <c r="H13" s="12">
        <v>750000</v>
      </c>
      <c r="I13" s="22" t="s">
        <v>76</v>
      </c>
      <c r="J13" s="24" t="s">
        <v>77</v>
      </c>
      <c r="K13" s="7" t="s">
        <v>78</v>
      </c>
    </row>
    <row r="14" spans="1:14" s="97" customFormat="1" ht="63" customHeight="1" x14ac:dyDescent="0.35">
      <c r="A14" s="8" t="s">
        <v>218</v>
      </c>
      <c r="B14" s="24" t="s">
        <v>228</v>
      </c>
      <c r="C14" s="43" t="s">
        <v>55</v>
      </c>
      <c r="D14" s="43" t="s">
        <v>56</v>
      </c>
      <c r="E14" s="9" t="s">
        <v>57</v>
      </c>
      <c r="F14" s="182"/>
      <c r="G14" s="182"/>
      <c r="H14" s="12">
        <f>170000+30000+150000+106250+23750+100000+70000+80000</f>
        <v>730000</v>
      </c>
      <c r="I14" s="22" t="s">
        <v>105</v>
      </c>
      <c r="J14" s="24" t="s">
        <v>684</v>
      </c>
      <c r="K14" s="7" t="s">
        <v>229</v>
      </c>
    </row>
    <row r="15" spans="1:14" s="97" customFormat="1" ht="105" x14ac:dyDescent="0.35">
      <c r="A15" s="8" t="s">
        <v>322</v>
      </c>
      <c r="B15" s="8" t="s">
        <v>339</v>
      </c>
      <c r="C15" s="43" t="s">
        <v>55</v>
      </c>
      <c r="D15" s="43" t="s">
        <v>56</v>
      </c>
      <c r="E15" s="9" t="s">
        <v>57</v>
      </c>
      <c r="F15" s="182"/>
      <c r="G15" s="182"/>
      <c r="H15" s="12">
        <f>290995.81+66954.19+140900</f>
        <v>498850</v>
      </c>
      <c r="I15" s="22" t="s">
        <v>76</v>
      </c>
      <c r="J15" s="8" t="s">
        <v>685</v>
      </c>
      <c r="K15" s="2" t="s">
        <v>340</v>
      </c>
    </row>
    <row r="16" spans="1:14" s="97" customFormat="1" ht="105" x14ac:dyDescent="0.35">
      <c r="A16" s="8" t="s">
        <v>323</v>
      </c>
      <c r="B16" s="8" t="s">
        <v>140</v>
      </c>
      <c r="C16" s="43" t="s">
        <v>55</v>
      </c>
      <c r="D16" s="43" t="s">
        <v>56</v>
      </c>
      <c r="E16" s="9" t="s">
        <v>57</v>
      </c>
      <c r="F16" s="182"/>
      <c r="G16" s="182"/>
      <c r="H16" s="12">
        <f>415000+756200</f>
        <v>1171200</v>
      </c>
      <c r="I16" s="22" t="s">
        <v>193</v>
      </c>
      <c r="J16" s="8" t="s">
        <v>686</v>
      </c>
      <c r="K16" s="2" t="s">
        <v>340</v>
      </c>
    </row>
    <row r="17" spans="1:11" s="97" customFormat="1" ht="68.25" customHeight="1" x14ac:dyDescent="0.35">
      <c r="A17" s="8" t="s">
        <v>324</v>
      </c>
      <c r="B17" s="8" t="s">
        <v>341</v>
      </c>
      <c r="C17" s="43" t="s">
        <v>55</v>
      </c>
      <c r="D17" s="43" t="s">
        <v>56</v>
      </c>
      <c r="E17" s="9" t="s">
        <v>57</v>
      </c>
      <c r="F17" s="182"/>
      <c r="G17" s="182"/>
      <c r="H17" s="12">
        <f>372343.4+744686.8+372343.4</f>
        <v>1489373.6</v>
      </c>
      <c r="I17" s="22" t="s">
        <v>193</v>
      </c>
      <c r="J17" s="8" t="s">
        <v>687</v>
      </c>
      <c r="K17" s="2" t="s">
        <v>342</v>
      </c>
    </row>
    <row r="18" spans="1:11" s="97" customFormat="1" ht="68.25" customHeight="1" x14ac:dyDescent="0.35">
      <c r="A18" s="8" t="s">
        <v>325</v>
      </c>
      <c r="B18" s="8" t="s">
        <v>344</v>
      </c>
      <c r="C18" s="43" t="s">
        <v>55</v>
      </c>
      <c r="D18" s="43" t="s">
        <v>56</v>
      </c>
      <c r="E18" s="9" t="s">
        <v>57</v>
      </c>
      <c r="F18" s="182"/>
      <c r="G18" s="182"/>
      <c r="H18" s="12">
        <v>495000</v>
      </c>
      <c r="I18" s="22" t="s">
        <v>193</v>
      </c>
      <c r="J18" s="8" t="s">
        <v>688</v>
      </c>
      <c r="K18" s="2" t="s">
        <v>78</v>
      </c>
    </row>
    <row r="19" spans="1:11" s="97" customFormat="1" ht="87.5" x14ac:dyDescent="0.35">
      <c r="A19" s="8" t="s">
        <v>95</v>
      </c>
      <c r="B19" s="8" t="s">
        <v>405</v>
      </c>
      <c r="C19" s="43" t="s">
        <v>55</v>
      </c>
      <c r="D19" s="43" t="s">
        <v>56</v>
      </c>
      <c r="E19" s="9" t="s">
        <v>57</v>
      </c>
      <c r="F19" s="182"/>
      <c r="G19" s="182"/>
      <c r="H19" s="12">
        <v>353640.54</v>
      </c>
      <c r="I19" s="22" t="s">
        <v>193</v>
      </c>
      <c r="J19" s="8" t="s">
        <v>406</v>
      </c>
      <c r="K19" s="2" t="s">
        <v>340</v>
      </c>
    </row>
    <row r="20" spans="1:11" s="97" customFormat="1" ht="68.25" customHeight="1" x14ac:dyDescent="0.35">
      <c r="A20" s="8" t="s">
        <v>363</v>
      </c>
      <c r="B20" s="8" t="s">
        <v>396</v>
      </c>
      <c r="C20" s="43" t="s">
        <v>55</v>
      </c>
      <c r="D20" s="43" t="s">
        <v>56</v>
      </c>
      <c r="E20" s="9" t="s">
        <v>57</v>
      </c>
      <c r="F20" s="182"/>
      <c r="G20" s="182"/>
      <c r="H20" s="12">
        <v>20520</v>
      </c>
      <c r="I20" s="22" t="s">
        <v>193</v>
      </c>
      <c r="J20" s="8" t="s">
        <v>689</v>
      </c>
      <c r="K20" s="2" t="s">
        <v>78</v>
      </c>
    </row>
    <row r="21" spans="1:11" s="97" customFormat="1" ht="68.25" customHeight="1" x14ac:dyDescent="0.35">
      <c r="A21" s="8" t="s">
        <v>150</v>
      </c>
      <c r="B21" s="8" t="s">
        <v>481</v>
      </c>
      <c r="C21" s="43" t="s">
        <v>482</v>
      </c>
      <c r="D21" s="43" t="s">
        <v>56</v>
      </c>
      <c r="E21" s="9" t="s">
        <v>483</v>
      </c>
      <c r="F21" s="182"/>
      <c r="G21" s="182"/>
      <c r="H21" s="12">
        <v>177954</v>
      </c>
      <c r="I21" s="22" t="s">
        <v>193</v>
      </c>
      <c r="J21" s="8" t="s">
        <v>690</v>
      </c>
      <c r="K21" s="2" t="s">
        <v>484</v>
      </c>
    </row>
    <row r="22" spans="1:11" s="97" customFormat="1" ht="68.25" customHeight="1" x14ac:dyDescent="0.35">
      <c r="A22" s="8" t="s">
        <v>497</v>
      </c>
      <c r="B22" s="8" t="s">
        <v>538</v>
      </c>
      <c r="C22" s="8" t="s">
        <v>535</v>
      </c>
      <c r="D22" s="43" t="s">
        <v>536</v>
      </c>
      <c r="E22" s="9"/>
      <c r="F22" s="182"/>
      <c r="G22" s="182"/>
      <c r="H22" s="12">
        <f>102900+44100</f>
        <v>147000</v>
      </c>
      <c r="I22" s="22" t="s">
        <v>193</v>
      </c>
      <c r="J22" s="8" t="s">
        <v>691</v>
      </c>
      <c r="K22" s="2" t="s">
        <v>537</v>
      </c>
    </row>
    <row r="23" spans="1:11" s="97" customFormat="1" ht="68.25" customHeight="1" x14ac:dyDescent="0.35">
      <c r="A23" s="8" t="s">
        <v>498</v>
      </c>
      <c r="B23" s="8" t="s">
        <v>527</v>
      </c>
      <c r="C23" s="43" t="s">
        <v>528</v>
      </c>
      <c r="D23" s="43" t="s">
        <v>529</v>
      </c>
      <c r="E23" s="9" t="s">
        <v>530</v>
      </c>
      <c r="F23" s="182"/>
      <c r="G23" s="182"/>
      <c r="H23" s="12">
        <f>139879+221617.6+55404.4+139879+554044+93252.64+186505.36</f>
        <v>1390582</v>
      </c>
      <c r="I23" s="22" t="s">
        <v>193</v>
      </c>
      <c r="J23" s="8" t="s">
        <v>526</v>
      </c>
      <c r="K23" s="2" t="s">
        <v>78</v>
      </c>
    </row>
    <row r="24" spans="1:11" s="97" customFormat="1" ht="87.5" x14ac:dyDescent="0.35">
      <c r="A24" s="8" t="s">
        <v>499</v>
      </c>
      <c r="B24" s="24" t="s">
        <v>657</v>
      </c>
      <c r="C24" s="43" t="s">
        <v>582</v>
      </c>
      <c r="D24" s="43" t="s">
        <v>658</v>
      </c>
      <c r="E24" s="9" t="s">
        <v>530</v>
      </c>
      <c r="F24" s="182"/>
      <c r="G24" s="182"/>
      <c r="H24" s="12">
        <f>43577.77+168185.03+101681.47+7262.96</f>
        <v>320707.23000000004</v>
      </c>
      <c r="I24" s="22" t="s">
        <v>193</v>
      </c>
      <c r="J24" s="8" t="s">
        <v>692</v>
      </c>
      <c r="K24" s="2" t="s">
        <v>340</v>
      </c>
    </row>
    <row r="25" spans="1:11" s="97" customFormat="1" ht="87.5" x14ac:dyDescent="0.35">
      <c r="A25" s="8" t="s">
        <v>591</v>
      </c>
      <c r="B25" s="24" t="s">
        <v>623</v>
      </c>
      <c r="C25" s="43" t="s">
        <v>621</v>
      </c>
      <c r="D25" s="43" t="s">
        <v>622</v>
      </c>
      <c r="E25" s="9" t="s">
        <v>483</v>
      </c>
      <c r="F25" s="182"/>
      <c r="G25" s="182"/>
      <c r="H25" s="12">
        <v>1034982.18</v>
      </c>
      <c r="I25" s="22" t="s">
        <v>193</v>
      </c>
      <c r="J25" s="24" t="s">
        <v>623</v>
      </c>
      <c r="K25" s="2" t="s">
        <v>340</v>
      </c>
    </row>
    <row r="26" spans="1:11" s="97" customFormat="1" ht="54.75" customHeight="1" x14ac:dyDescent="0.35">
      <c r="A26" s="54" t="s">
        <v>6</v>
      </c>
      <c r="B26" s="4"/>
      <c r="C26" s="4"/>
      <c r="D26" s="4"/>
      <c r="E26" s="5"/>
      <c r="F26" s="19"/>
      <c r="G26" s="20"/>
      <c r="H26" s="76">
        <f>SUM(H13:H25)</f>
        <v>8579809.5500000007</v>
      </c>
      <c r="I26" s="11" t="s">
        <v>31</v>
      </c>
      <c r="J26" s="11"/>
      <c r="K26" s="11"/>
    </row>
    <row r="27" spans="1:11" s="97" customFormat="1" ht="32.25" customHeight="1" x14ac:dyDescent="0.35">
      <c r="A27" s="268"/>
      <c r="B27" s="268"/>
      <c r="C27" s="268"/>
      <c r="D27" s="268"/>
      <c r="E27" s="268"/>
      <c r="F27" s="268"/>
      <c r="G27" s="268"/>
      <c r="H27" s="268"/>
      <c r="I27" s="268"/>
      <c r="J27" s="268"/>
      <c r="K27" s="268"/>
    </row>
    <row r="28" spans="1:11" s="97" customFormat="1" ht="42" customHeight="1" x14ac:dyDescent="0.35">
      <c r="A28" s="270" t="s">
        <v>26</v>
      </c>
      <c r="B28" s="270"/>
      <c r="C28" s="270"/>
      <c r="D28" s="270"/>
      <c r="E28" s="270"/>
      <c r="F28" s="270"/>
      <c r="G28" s="270"/>
      <c r="H28" s="270"/>
      <c r="I28" s="270"/>
      <c r="J28" s="270"/>
      <c r="K28" s="270"/>
    </row>
    <row r="29" spans="1:11" s="97" customFormat="1" ht="49.5" customHeight="1" x14ac:dyDescent="0.35">
      <c r="A29" s="151" t="s">
        <v>0</v>
      </c>
      <c r="B29" s="151" t="s">
        <v>1</v>
      </c>
      <c r="C29" s="150" t="s">
        <v>12</v>
      </c>
      <c r="D29" s="150" t="s">
        <v>13</v>
      </c>
      <c r="E29" s="151" t="s">
        <v>2</v>
      </c>
      <c r="F29" s="152" t="s">
        <v>3</v>
      </c>
      <c r="G29" s="151" t="s">
        <v>4</v>
      </c>
      <c r="H29" s="156" t="s">
        <v>7</v>
      </c>
      <c r="I29" s="150" t="s">
        <v>14</v>
      </c>
      <c r="J29" s="150" t="s">
        <v>10</v>
      </c>
      <c r="K29" s="150" t="s">
        <v>9</v>
      </c>
    </row>
    <row r="30" spans="1:11" s="97" customFormat="1" ht="49.5" customHeight="1" x14ac:dyDescent="0.35">
      <c r="A30" s="31"/>
      <c r="B30" s="139"/>
      <c r="C30" s="81"/>
      <c r="D30" s="81"/>
      <c r="E30" s="16"/>
      <c r="F30" s="6"/>
      <c r="G30" s="6"/>
      <c r="H30" s="12">
        <v>0</v>
      </c>
      <c r="I30" s="17"/>
      <c r="J30" s="22"/>
      <c r="K30" s="11"/>
    </row>
    <row r="31" spans="1:11" s="97" customFormat="1" ht="49.5" customHeight="1" x14ac:dyDescent="0.35">
      <c r="A31" s="18"/>
      <c r="B31" s="7"/>
      <c r="C31" s="81"/>
      <c r="D31" s="81"/>
      <c r="E31" s="25"/>
      <c r="F31" s="6"/>
      <c r="G31" s="6"/>
      <c r="H31" s="171"/>
      <c r="I31" s="79"/>
      <c r="J31" s="7"/>
      <c r="K31" s="7"/>
    </row>
    <row r="32" spans="1:11" s="97" customFormat="1" ht="42" customHeight="1" x14ac:dyDescent="0.35">
      <c r="A32" s="54" t="s">
        <v>6</v>
      </c>
      <c r="B32" s="11"/>
      <c r="C32" s="11"/>
      <c r="D32" s="11"/>
      <c r="E32" s="5"/>
      <c r="F32" s="45"/>
      <c r="G32" s="45"/>
      <c r="H32" s="156">
        <f>SUM(H30:H31)</f>
        <v>0</v>
      </c>
      <c r="I32" s="11"/>
      <c r="J32" s="11"/>
      <c r="K32" s="30"/>
    </row>
    <row r="33" spans="1:11" s="97" customFormat="1" ht="32.25" customHeight="1" x14ac:dyDescent="0.35">
      <c r="A33" s="272"/>
      <c r="B33" s="272"/>
      <c r="C33" s="272"/>
      <c r="D33" s="272"/>
      <c r="E33" s="272"/>
      <c r="F33" s="272"/>
      <c r="G33" s="272"/>
      <c r="H33" s="272"/>
      <c r="I33" s="272"/>
      <c r="J33" s="272"/>
      <c r="K33" s="272"/>
    </row>
    <row r="34" spans="1:11" s="97" customFormat="1" ht="51" customHeight="1" x14ac:dyDescent="0.35">
      <c r="A34" s="268" t="s">
        <v>27</v>
      </c>
      <c r="B34" s="268"/>
      <c r="C34" s="268"/>
      <c r="D34" s="268"/>
      <c r="E34" s="268"/>
      <c r="F34" s="268"/>
      <c r="G34" s="268"/>
      <c r="H34" s="268"/>
      <c r="I34" s="268"/>
      <c r="J34" s="268"/>
      <c r="K34" s="268"/>
    </row>
    <row r="35" spans="1:11" s="97" customFormat="1" ht="40.5" customHeight="1" x14ac:dyDescent="0.35">
      <c r="A35" s="151" t="s">
        <v>0</v>
      </c>
      <c r="B35" s="151" t="s">
        <v>1</v>
      </c>
      <c r="C35" s="150" t="s">
        <v>12</v>
      </c>
      <c r="D35" s="150" t="s">
        <v>13</v>
      </c>
      <c r="E35" s="151" t="s">
        <v>2</v>
      </c>
      <c r="F35" s="152" t="s">
        <v>3</v>
      </c>
      <c r="G35" s="151" t="s">
        <v>4</v>
      </c>
      <c r="H35" s="156" t="s">
        <v>7</v>
      </c>
      <c r="I35" s="150" t="s">
        <v>14</v>
      </c>
      <c r="J35" s="150" t="s">
        <v>10</v>
      </c>
      <c r="K35" s="150" t="s">
        <v>9</v>
      </c>
    </row>
    <row r="36" spans="1:11" s="97" customFormat="1" ht="40.5" customHeight="1" x14ac:dyDescent="0.35">
      <c r="A36" s="31"/>
      <c r="B36" s="2"/>
      <c r="C36" s="81"/>
      <c r="D36" s="81"/>
      <c r="E36" s="16"/>
      <c r="F36" s="6"/>
      <c r="G36" s="6"/>
      <c r="H36" s="12">
        <v>0</v>
      </c>
      <c r="I36" s="17"/>
      <c r="J36" s="22"/>
      <c r="K36" s="22" t="s">
        <v>24</v>
      </c>
    </row>
    <row r="37" spans="1:11" s="115" customFormat="1" ht="36" customHeight="1" x14ac:dyDescent="0.35">
      <c r="A37" s="18"/>
      <c r="B37" s="144"/>
      <c r="C37" s="81"/>
      <c r="D37" s="81"/>
      <c r="E37" s="16"/>
      <c r="F37" s="82"/>
      <c r="G37" s="6"/>
      <c r="H37" s="172"/>
      <c r="I37" s="7"/>
      <c r="J37" s="144"/>
      <c r="K37" s="2"/>
    </row>
    <row r="38" spans="1:11" s="115" customFormat="1" ht="38.25" customHeight="1" x14ac:dyDescent="0.35">
      <c r="A38" s="46" t="s">
        <v>6</v>
      </c>
      <c r="B38" s="30"/>
      <c r="C38" s="30"/>
      <c r="D38" s="30"/>
      <c r="E38" s="41"/>
      <c r="F38" s="46"/>
      <c r="G38" s="41"/>
      <c r="H38" s="158">
        <f>SUM(H36:H37)</f>
        <v>0</v>
      </c>
      <c r="I38" s="11"/>
      <c r="J38" s="11"/>
      <c r="K38" s="11"/>
    </row>
    <row r="39" spans="1:11" s="115" customFormat="1" ht="36.75" customHeight="1" x14ac:dyDescent="0.35">
      <c r="A39" s="271"/>
      <c r="B39" s="271"/>
      <c r="C39" s="271"/>
      <c r="D39" s="271"/>
      <c r="E39" s="271"/>
      <c r="F39" s="271"/>
      <c r="G39" s="271"/>
      <c r="H39" s="271"/>
      <c r="I39" s="271"/>
      <c r="J39" s="271"/>
      <c r="K39" s="271"/>
    </row>
    <row r="40" spans="1:11" s="115" customFormat="1" ht="42.75" customHeight="1" x14ac:dyDescent="0.35">
      <c r="A40" s="262" t="s">
        <v>17</v>
      </c>
      <c r="B40" s="262"/>
      <c r="C40" s="262"/>
      <c r="D40" s="262"/>
      <c r="E40" s="262"/>
      <c r="F40" s="262"/>
      <c r="G40" s="262"/>
      <c r="H40" s="262"/>
      <c r="I40" s="262"/>
      <c r="J40" s="262"/>
      <c r="K40" s="262"/>
    </row>
    <row r="41" spans="1:11" s="115" customFormat="1" ht="38.25" customHeight="1" x14ac:dyDescent="0.35">
      <c r="A41" s="151" t="s">
        <v>0</v>
      </c>
      <c r="B41" s="151" t="s">
        <v>1</v>
      </c>
      <c r="C41" s="150" t="s">
        <v>12</v>
      </c>
      <c r="D41" s="150" t="s">
        <v>13</v>
      </c>
      <c r="E41" s="151" t="s">
        <v>2</v>
      </c>
      <c r="F41" s="152" t="s">
        <v>3</v>
      </c>
      <c r="G41" s="151" t="s">
        <v>4</v>
      </c>
      <c r="H41" s="156" t="s">
        <v>7</v>
      </c>
      <c r="I41" s="150" t="s">
        <v>14</v>
      </c>
      <c r="J41" s="150" t="s">
        <v>10</v>
      </c>
      <c r="K41" s="150" t="s">
        <v>9</v>
      </c>
    </row>
    <row r="42" spans="1:11" s="115" customFormat="1" ht="38.25" customHeight="1" x14ac:dyDescent="0.35">
      <c r="A42" s="31" t="s">
        <v>62</v>
      </c>
      <c r="B42" s="2" t="s">
        <v>693</v>
      </c>
      <c r="C42" s="32" t="s">
        <v>55</v>
      </c>
      <c r="D42" s="33" t="s">
        <v>56</v>
      </c>
      <c r="E42" s="34" t="s">
        <v>57</v>
      </c>
      <c r="F42" s="253"/>
      <c r="G42" s="253"/>
      <c r="H42" s="221">
        <f>272829.97+8641.32+50949.51+6432.95+80861.24</f>
        <v>419714.99</v>
      </c>
      <c r="I42" s="7" t="s">
        <v>63</v>
      </c>
      <c r="J42" s="7" t="s">
        <v>52</v>
      </c>
      <c r="K42" s="19"/>
    </row>
    <row r="43" spans="1:11" s="115" customFormat="1" ht="38.25" customHeight="1" x14ac:dyDescent="0.35">
      <c r="A43" s="31"/>
      <c r="B43" s="2"/>
      <c r="C43" s="32"/>
      <c r="D43" s="33"/>
      <c r="E43" s="34"/>
      <c r="F43" s="183"/>
      <c r="G43" s="183"/>
      <c r="H43" s="21"/>
      <c r="I43" s="7"/>
      <c r="J43" s="7"/>
      <c r="K43" s="19"/>
    </row>
    <row r="44" spans="1:11" s="115" customFormat="1" ht="41.25" customHeight="1" x14ac:dyDescent="0.35">
      <c r="A44" s="54" t="s">
        <v>6</v>
      </c>
      <c r="B44" s="4"/>
      <c r="C44" s="4"/>
      <c r="D44" s="4"/>
      <c r="E44" s="5"/>
      <c r="F44" s="19"/>
      <c r="G44" s="20"/>
      <c r="H44" s="76">
        <f>SUM(H42:H43)</f>
        <v>419714.99</v>
      </c>
      <c r="I44" s="11"/>
      <c r="J44" s="11"/>
      <c r="K44" s="11"/>
    </row>
    <row r="45" spans="1:11" s="126" customFormat="1" ht="29.25" customHeight="1" x14ac:dyDescent="0.35">
      <c r="A45" s="268"/>
      <c r="B45" s="268"/>
      <c r="C45" s="268"/>
      <c r="D45" s="268"/>
      <c r="E45" s="268"/>
      <c r="F45" s="268"/>
      <c r="G45" s="268"/>
      <c r="H45" s="268"/>
      <c r="I45" s="268"/>
      <c r="J45" s="268"/>
      <c r="K45" s="268"/>
    </row>
    <row r="46" spans="1:11" s="115" customFormat="1" ht="42.75" customHeight="1" x14ac:dyDescent="0.35">
      <c r="A46" s="264" t="s">
        <v>18</v>
      </c>
      <c r="B46" s="264"/>
      <c r="C46" s="264"/>
      <c r="D46" s="264"/>
      <c r="E46" s="264"/>
      <c r="F46" s="264"/>
      <c r="G46" s="264"/>
      <c r="H46" s="264"/>
      <c r="I46" s="264"/>
      <c r="J46" s="264"/>
      <c r="K46" s="264"/>
    </row>
    <row r="47" spans="1:11" s="115" customFormat="1" ht="39" customHeight="1" x14ac:dyDescent="0.35">
      <c r="A47" s="151" t="s">
        <v>0</v>
      </c>
      <c r="B47" s="151" t="s">
        <v>1</v>
      </c>
      <c r="C47" s="150" t="s">
        <v>12</v>
      </c>
      <c r="D47" s="150" t="s">
        <v>13</v>
      </c>
      <c r="E47" s="151" t="s">
        <v>2</v>
      </c>
      <c r="F47" s="152" t="s">
        <v>3</v>
      </c>
      <c r="G47" s="151" t="s">
        <v>4</v>
      </c>
      <c r="H47" s="156" t="s">
        <v>7</v>
      </c>
      <c r="I47" s="150" t="s">
        <v>14</v>
      </c>
      <c r="J47" s="150" t="s">
        <v>10</v>
      </c>
      <c r="K47" s="150" t="s">
        <v>9</v>
      </c>
    </row>
    <row r="48" spans="1:11" s="115" customFormat="1" ht="41.25" customHeight="1" x14ac:dyDescent="0.35">
      <c r="A48" s="8" t="s">
        <v>53</v>
      </c>
      <c r="B48" s="8" t="s">
        <v>54</v>
      </c>
      <c r="C48" s="43" t="s">
        <v>55</v>
      </c>
      <c r="D48" s="43" t="s">
        <v>56</v>
      </c>
      <c r="E48" s="9" t="s">
        <v>57</v>
      </c>
      <c r="F48" s="10"/>
      <c r="G48" s="10"/>
      <c r="H48" s="221">
        <f>6247+773.5+100+600+1020+1280</f>
        <v>10020.5</v>
      </c>
      <c r="I48" s="1" t="s">
        <v>58</v>
      </c>
      <c r="J48" s="8" t="s">
        <v>54</v>
      </c>
      <c r="K48" s="2"/>
    </row>
    <row r="49" spans="1:11" s="115" customFormat="1" ht="36" customHeight="1" x14ac:dyDescent="0.35">
      <c r="A49" s="8" t="s">
        <v>331</v>
      </c>
      <c r="B49" s="8" t="s">
        <v>178</v>
      </c>
      <c r="C49" s="43" t="s">
        <v>123</v>
      </c>
      <c r="D49" s="43"/>
      <c r="E49" s="9"/>
      <c r="F49" s="10"/>
      <c r="G49" s="10"/>
      <c r="H49" s="221">
        <f>800*2</f>
        <v>1600</v>
      </c>
      <c r="I49" s="1" t="s">
        <v>232</v>
      </c>
      <c r="J49" s="1" t="s">
        <v>343</v>
      </c>
      <c r="K49" s="2" t="s">
        <v>342</v>
      </c>
    </row>
    <row r="50" spans="1:11" s="115" customFormat="1" ht="36" customHeight="1" x14ac:dyDescent="0.35">
      <c r="A50" s="8" t="s">
        <v>439</v>
      </c>
      <c r="B50" s="8" t="s">
        <v>476</v>
      </c>
      <c r="C50" s="43" t="s">
        <v>123</v>
      </c>
      <c r="D50" s="43"/>
      <c r="E50" s="9"/>
      <c r="F50" s="10"/>
      <c r="G50" s="10"/>
      <c r="H50" s="221">
        <v>36480</v>
      </c>
      <c r="I50" s="1" t="s">
        <v>477</v>
      </c>
      <c r="J50" s="1" t="s">
        <v>478</v>
      </c>
      <c r="K50" s="2" t="s">
        <v>479</v>
      </c>
    </row>
    <row r="51" spans="1:11" s="115" customFormat="1" ht="36" customHeight="1" x14ac:dyDescent="0.35">
      <c r="A51" s="8" t="s">
        <v>440</v>
      </c>
      <c r="B51" s="8" t="s">
        <v>178</v>
      </c>
      <c r="C51" s="43" t="s">
        <v>123</v>
      </c>
      <c r="D51" s="43"/>
      <c r="E51" s="9"/>
      <c r="F51" s="10"/>
      <c r="G51" s="10"/>
      <c r="H51" s="221">
        <v>1936.58</v>
      </c>
      <c r="I51" s="1" t="s">
        <v>232</v>
      </c>
      <c r="J51" s="1" t="s">
        <v>343</v>
      </c>
      <c r="K51" s="2" t="s">
        <v>480</v>
      </c>
    </row>
    <row r="52" spans="1:11" s="115" customFormat="1" ht="36" customHeight="1" x14ac:dyDescent="0.35">
      <c r="A52" s="8" t="s">
        <v>441</v>
      </c>
      <c r="B52" s="8" t="s">
        <v>178</v>
      </c>
      <c r="C52" s="43" t="s">
        <v>123</v>
      </c>
      <c r="D52" s="43"/>
      <c r="E52" s="9"/>
      <c r="F52" s="10"/>
      <c r="G52" s="10"/>
      <c r="H52" s="221">
        <v>85240.24</v>
      </c>
      <c r="I52" s="1" t="s">
        <v>232</v>
      </c>
      <c r="J52" s="1" t="s">
        <v>474</v>
      </c>
      <c r="K52" s="2" t="s">
        <v>475</v>
      </c>
    </row>
    <row r="53" spans="1:11" s="115" customFormat="1" ht="36" customHeight="1" x14ac:dyDescent="0.35">
      <c r="A53" s="8" t="s">
        <v>589</v>
      </c>
      <c r="B53" s="8" t="s">
        <v>644</v>
      </c>
      <c r="C53" s="43" t="s">
        <v>123</v>
      </c>
      <c r="D53" s="43"/>
      <c r="E53" s="9"/>
      <c r="F53" s="10"/>
      <c r="G53" s="10"/>
      <c r="H53" s="221">
        <v>82080</v>
      </c>
      <c r="I53" s="1" t="s">
        <v>232</v>
      </c>
      <c r="J53" s="1" t="s">
        <v>694</v>
      </c>
      <c r="K53" s="2" t="s">
        <v>645</v>
      </c>
    </row>
    <row r="54" spans="1:11" s="115" customFormat="1" ht="90" customHeight="1" x14ac:dyDescent="0.35">
      <c r="A54" s="8" t="s">
        <v>603</v>
      </c>
      <c r="B54" s="8" t="s">
        <v>640</v>
      </c>
      <c r="C54" s="43" t="s">
        <v>123</v>
      </c>
      <c r="D54" s="43"/>
      <c r="E54" s="9"/>
      <c r="F54" s="10"/>
      <c r="G54" s="10"/>
      <c r="H54" s="221">
        <v>4665284.5</v>
      </c>
      <c r="I54" s="1" t="s">
        <v>245</v>
      </c>
      <c r="J54" s="1" t="s">
        <v>695</v>
      </c>
      <c r="K54" s="2" t="s">
        <v>641</v>
      </c>
    </row>
    <row r="55" spans="1:11" s="126" customFormat="1" ht="46.5" customHeight="1" x14ac:dyDescent="0.35">
      <c r="A55" s="54" t="s">
        <v>6</v>
      </c>
      <c r="B55" s="4"/>
      <c r="C55" s="4"/>
      <c r="D55" s="4"/>
      <c r="E55" s="5"/>
      <c r="F55" s="19"/>
      <c r="G55" s="20"/>
      <c r="H55" s="76">
        <f>SUM(H48:H54)</f>
        <v>4882641.82</v>
      </c>
      <c r="I55" s="11"/>
      <c r="J55" s="11"/>
      <c r="K55" s="11"/>
    </row>
    <row r="56" spans="1:11" s="115" customFormat="1" ht="36.75" customHeight="1" x14ac:dyDescent="0.35">
      <c r="A56" s="55"/>
      <c r="B56" s="4"/>
      <c r="C56" s="4"/>
      <c r="D56" s="4"/>
      <c r="E56" s="5"/>
      <c r="F56" s="19"/>
      <c r="G56" s="5"/>
      <c r="H56" s="161"/>
      <c r="I56" s="11"/>
      <c r="J56" s="11"/>
      <c r="K56" s="19"/>
    </row>
    <row r="57" spans="1:11" s="115" customFormat="1" ht="18" x14ac:dyDescent="0.35">
      <c r="A57" s="29"/>
      <c r="B57" s="58"/>
      <c r="C57" s="59"/>
      <c r="D57" s="59"/>
      <c r="E57" s="60"/>
      <c r="F57" s="29"/>
      <c r="G57" s="60"/>
      <c r="H57" s="163"/>
      <c r="I57" s="61"/>
      <c r="J57" s="61"/>
      <c r="K57" s="29"/>
    </row>
    <row r="58" spans="1:11" s="115" customFormat="1" ht="18" x14ac:dyDescent="0.35">
      <c r="A58" s="266"/>
      <c r="B58" s="267"/>
      <c r="C58" s="267"/>
      <c r="D58" s="267"/>
      <c r="E58" s="267"/>
      <c r="F58" s="267"/>
      <c r="G58" s="267"/>
      <c r="H58" s="267"/>
      <c r="I58" s="61"/>
      <c r="J58" s="61"/>
      <c r="K58" s="29"/>
    </row>
    <row r="59" spans="1:11" s="51" customFormat="1" ht="29.15" customHeight="1" x14ac:dyDescent="0.35">
      <c r="A59" s="264" t="s">
        <v>19</v>
      </c>
      <c r="B59" s="264"/>
      <c r="C59" s="264"/>
      <c r="D59" s="264"/>
      <c r="E59" s="264"/>
      <c r="F59" s="264"/>
      <c r="G59" s="264"/>
      <c r="H59" s="264"/>
      <c r="I59" s="264"/>
      <c r="J59" s="264"/>
      <c r="K59" s="264"/>
    </row>
    <row r="60" spans="1:11" s="51" customFormat="1" ht="49.5" customHeight="1" x14ac:dyDescent="0.35">
      <c r="A60" s="151" t="s">
        <v>0</v>
      </c>
      <c r="B60" s="151" t="s">
        <v>1</v>
      </c>
      <c r="C60" s="150" t="s">
        <v>12</v>
      </c>
      <c r="D60" s="150" t="s">
        <v>13</v>
      </c>
      <c r="E60" s="151" t="s">
        <v>2</v>
      </c>
      <c r="F60" s="152" t="s">
        <v>3</v>
      </c>
      <c r="G60" s="151" t="s">
        <v>4</v>
      </c>
      <c r="H60" s="156" t="s">
        <v>7</v>
      </c>
      <c r="I60" s="150" t="s">
        <v>14</v>
      </c>
      <c r="J60" s="150" t="s">
        <v>10</v>
      </c>
      <c r="K60" s="150" t="s">
        <v>9</v>
      </c>
    </row>
    <row r="61" spans="1:11" s="51" customFormat="1" ht="41.25" customHeight="1" x14ac:dyDescent="0.35">
      <c r="A61" s="31"/>
      <c r="B61" s="2"/>
      <c r="C61" s="32"/>
      <c r="D61" s="33"/>
      <c r="E61" s="34"/>
      <c r="F61" s="183"/>
      <c r="G61" s="183"/>
      <c r="H61" s="21">
        <v>0</v>
      </c>
      <c r="I61" s="7"/>
      <c r="J61" s="7"/>
      <c r="K61" s="19"/>
    </row>
    <row r="62" spans="1:11" s="51" customFormat="1" ht="41.25" customHeight="1" x14ac:dyDescent="0.35">
      <c r="A62" s="31"/>
      <c r="B62" s="2"/>
      <c r="C62" s="32"/>
      <c r="D62" s="33"/>
      <c r="E62" s="34"/>
      <c r="F62" s="183"/>
      <c r="G62" s="183"/>
      <c r="H62" s="21"/>
      <c r="I62" s="7"/>
      <c r="J62" s="7"/>
      <c r="K62" s="19"/>
    </row>
    <row r="63" spans="1:11" s="51" customFormat="1" ht="51.75" customHeight="1" x14ac:dyDescent="0.35">
      <c r="A63" s="54" t="s">
        <v>6</v>
      </c>
      <c r="B63" s="4"/>
      <c r="C63" s="4"/>
      <c r="D63" s="4"/>
      <c r="E63" s="5"/>
      <c r="F63" s="19"/>
      <c r="G63" s="20"/>
      <c r="H63" s="76">
        <f>SUM(H61:H62)</f>
        <v>0</v>
      </c>
      <c r="I63" s="11"/>
      <c r="J63" s="11"/>
      <c r="K63" s="11"/>
    </row>
    <row r="64" spans="1:11" s="115" customFormat="1" ht="36" customHeight="1" x14ac:dyDescent="0.35">
      <c r="A64" s="40"/>
      <c r="B64" s="51"/>
      <c r="C64" s="125"/>
      <c r="D64" s="40"/>
      <c r="E64" s="50"/>
      <c r="F64" s="84"/>
      <c r="G64" s="104"/>
      <c r="H64" s="160"/>
      <c r="I64" s="40"/>
      <c r="J64" s="40"/>
      <c r="K64" s="101"/>
    </row>
    <row r="65" spans="1:11" s="115" customFormat="1" ht="42.75" customHeight="1" x14ac:dyDescent="0.35">
      <c r="A65" s="56" t="s">
        <v>8</v>
      </c>
      <c r="B65" s="15"/>
      <c r="C65" s="192"/>
      <c r="D65" s="192"/>
      <c r="E65" s="16"/>
      <c r="F65" s="6"/>
      <c r="G65" s="6"/>
      <c r="H65" s="193">
        <f>+H63+H55+H44+H38+H32+H26</f>
        <v>13882166.360000001</v>
      </c>
      <c r="I65" s="17"/>
      <c r="J65" s="7"/>
      <c r="K65" s="7"/>
    </row>
    <row r="66" spans="1:11" s="115" customFormat="1" x14ac:dyDescent="0.35">
      <c r="A66" s="78"/>
      <c r="B66" s="51"/>
      <c r="C66" s="125"/>
      <c r="D66" s="40"/>
      <c r="E66" s="50"/>
      <c r="F66" s="106"/>
      <c r="G66" s="106"/>
      <c r="H66" s="173"/>
      <c r="I66" s="40"/>
      <c r="J66" s="40"/>
      <c r="K66" s="78"/>
    </row>
    <row r="67" spans="1:11" s="115" customFormat="1" x14ac:dyDescent="0.35">
      <c r="A67" s="78"/>
      <c r="B67" s="51"/>
      <c r="C67" s="125"/>
      <c r="D67" s="40"/>
      <c r="E67" s="50"/>
      <c r="F67" s="106"/>
      <c r="G67" s="106"/>
      <c r="H67" s="173"/>
      <c r="I67" s="40"/>
      <c r="J67" s="40"/>
      <c r="K67" s="78"/>
    </row>
    <row r="68" spans="1:11" s="103" customFormat="1" x14ac:dyDescent="0.35">
      <c r="A68" s="78"/>
      <c r="B68" s="51"/>
      <c r="C68" s="125"/>
      <c r="D68" s="40"/>
      <c r="E68" s="50"/>
      <c r="F68" s="106"/>
      <c r="G68" s="106"/>
      <c r="H68" s="173"/>
      <c r="I68" s="40"/>
      <c r="J68" s="40"/>
      <c r="K68" s="78"/>
    </row>
    <row r="69" spans="1:11" s="115" customFormat="1" x14ac:dyDescent="0.35">
      <c r="A69" s="101"/>
      <c r="B69" s="103"/>
      <c r="C69" s="275"/>
      <c r="D69" s="275"/>
      <c r="E69" s="128"/>
      <c r="F69" s="108"/>
      <c r="G69" s="108"/>
      <c r="H69" s="174"/>
      <c r="I69" s="111"/>
      <c r="J69" s="101"/>
      <c r="K69" s="78"/>
    </row>
    <row r="70" spans="1:11" s="115" customFormat="1" x14ac:dyDescent="0.35">
      <c r="A70" s="78"/>
      <c r="B70" s="51"/>
      <c r="C70" s="125"/>
      <c r="D70" s="40"/>
      <c r="E70" s="50"/>
      <c r="F70" s="106"/>
      <c r="G70" s="106"/>
      <c r="H70" s="173"/>
      <c r="I70" s="40"/>
      <c r="J70" s="40"/>
      <c r="K70" s="78"/>
    </row>
    <row r="71" spans="1:11" s="115" customFormat="1" x14ac:dyDescent="0.35">
      <c r="A71" s="78"/>
      <c r="B71" s="51"/>
      <c r="C71" s="125"/>
      <c r="D71" s="40"/>
      <c r="E71" s="50"/>
      <c r="F71" s="106"/>
      <c r="G71" s="106"/>
      <c r="H71" s="173"/>
      <c r="I71" s="40"/>
      <c r="J71" s="40"/>
      <c r="K71" s="78"/>
    </row>
    <row r="72" spans="1:11" s="115" customFormat="1" x14ac:dyDescent="0.35">
      <c r="A72" s="78"/>
      <c r="B72" s="51"/>
      <c r="C72" s="125"/>
      <c r="D72" s="40"/>
      <c r="E72" s="50"/>
      <c r="F72" s="106"/>
      <c r="G72" s="106"/>
      <c r="H72" s="173"/>
      <c r="I72" s="40"/>
      <c r="J72" s="40"/>
      <c r="K72" s="78"/>
    </row>
    <row r="73" spans="1:11" s="115" customFormat="1" x14ac:dyDescent="0.35">
      <c r="A73" s="78"/>
      <c r="B73" s="51"/>
      <c r="C73" s="125"/>
      <c r="D73" s="40"/>
      <c r="E73" s="50"/>
      <c r="F73" s="106"/>
      <c r="G73" s="106"/>
      <c r="H73" s="173"/>
      <c r="I73" s="40"/>
      <c r="J73" s="40"/>
      <c r="K73" s="78"/>
    </row>
    <row r="74" spans="1:11" s="115" customFormat="1" x14ac:dyDescent="0.35">
      <c r="A74" s="78"/>
      <c r="B74" s="51"/>
      <c r="C74" s="125"/>
      <c r="D74" s="40"/>
      <c r="E74" s="50"/>
      <c r="F74" s="106"/>
      <c r="G74" s="106"/>
      <c r="H74" s="173"/>
      <c r="I74" s="40"/>
      <c r="J74" s="40"/>
      <c r="K74" s="78"/>
    </row>
    <row r="75" spans="1:11" s="115" customFormat="1" x14ac:dyDescent="0.35">
      <c r="A75" s="78"/>
      <c r="B75" s="51"/>
      <c r="C75" s="125"/>
      <c r="D75" s="40"/>
      <c r="E75" s="50"/>
      <c r="F75" s="106"/>
      <c r="G75" s="106"/>
      <c r="H75" s="173"/>
      <c r="I75" s="40"/>
      <c r="J75" s="40"/>
      <c r="K75" s="78"/>
    </row>
    <row r="76" spans="1:11" s="115" customFormat="1" x14ac:dyDescent="0.35">
      <c r="A76" s="78"/>
      <c r="B76" s="51"/>
      <c r="C76" s="279"/>
      <c r="D76" s="279"/>
      <c r="E76" s="50"/>
      <c r="F76" s="106"/>
      <c r="G76" s="106"/>
      <c r="H76" s="173"/>
      <c r="I76" s="40"/>
      <c r="J76" s="40"/>
      <c r="K76" s="78"/>
    </row>
    <row r="77" spans="1:11" s="115" customFormat="1" x14ac:dyDescent="0.35">
      <c r="A77" s="78"/>
      <c r="B77" s="51"/>
      <c r="C77" s="279"/>
      <c r="D77" s="279"/>
      <c r="E77" s="50"/>
      <c r="F77" s="106"/>
      <c r="G77" s="106"/>
      <c r="H77" s="173"/>
      <c r="I77" s="40"/>
      <c r="J77" s="40"/>
      <c r="K77" s="78"/>
    </row>
    <row r="78" spans="1:11" s="115" customFormat="1" x14ac:dyDescent="0.35">
      <c r="A78" s="78"/>
      <c r="B78" s="103"/>
      <c r="C78" s="275"/>
      <c r="D78" s="275"/>
      <c r="E78" s="102"/>
      <c r="F78" s="108"/>
      <c r="G78" s="108"/>
      <c r="H78" s="168"/>
      <c r="I78" s="111"/>
      <c r="J78" s="103"/>
      <c r="K78" s="101"/>
    </row>
    <row r="79" spans="1:11" s="115" customFormat="1" x14ac:dyDescent="0.35">
      <c r="A79" s="78"/>
      <c r="B79" s="110"/>
      <c r="C79" s="275"/>
      <c r="D79" s="275"/>
      <c r="E79" s="128"/>
      <c r="F79" s="108"/>
      <c r="G79" s="108"/>
      <c r="H79" s="174"/>
      <c r="I79" s="111"/>
      <c r="J79" s="103"/>
      <c r="K79" s="101"/>
    </row>
    <row r="80" spans="1:11" s="115" customFormat="1" x14ac:dyDescent="0.35">
      <c r="A80" s="78"/>
      <c r="B80" s="110"/>
      <c r="C80" s="275"/>
      <c r="D80" s="275"/>
      <c r="E80" s="128"/>
      <c r="F80" s="108"/>
      <c r="G80" s="108"/>
      <c r="H80" s="174"/>
      <c r="I80" s="110"/>
      <c r="J80" s="103"/>
      <c r="K80" s="101"/>
    </row>
    <row r="81" spans="1:11" s="115" customFormat="1" x14ac:dyDescent="0.35">
      <c r="A81" s="78"/>
      <c r="B81" s="51"/>
      <c r="C81" s="125"/>
      <c r="D81" s="40"/>
      <c r="E81" s="50"/>
      <c r="F81" s="106"/>
      <c r="G81" s="106"/>
      <c r="H81" s="173"/>
      <c r="I81" s="40"/>
      <c r="J81" s="40"/>
      <c r="K81" s="78"/>
    </row>
    <row r="82" spans="1:11" s="115" customFormat="1" x14ac:dyDescent="0.35">
      <c r="A82" s="78"/>
      <c r="B82" s="110"/>
      <c r="C82" s="129"/>
      <c r="D82" s="129"/>
      <c r="E82" s="103"/>
      <c r="F82" s="108"/>
      <c r="G82" s="108"/>
      <c r="H82" s="174"/>
      <c r="I82" s="111"/>
      <c r="J82" s="101"/>
      <c r="K82" s="101"/>
    </row>
    <row r="83" spans="1:11" s="115" customFormat="1" x14ac:dyDescent="0.35">
      <c r="A83" s="78"/>
      <c r="B83" s="103"/>
      <c r="C83" s="124"/>
      <c r="D83" s="101"/>
      <c r="E83" s="102"/>
      <c r="F83" s="108"/>
      <c r="G83" s="108"/>
      <c r="H83" s="174"/>
      <c r="I83" s="101"/>
      <c r="J83" s="101"/>
      <c r="K83" s="101"/>
    </row>
    <row r="84" spans="1:11" s="115" customFormat="1" x14ac:dyDescent="0.35">
      <c r="A84" s="78"/>
      <c r="B84" s="109"/>
      <c r="C84" s="275"/>
      <c r="D84" s="275"/>
      <c r="E84" s="121"/>
      <c r="F84" s="106"/>
      <c r="G84" s="106"/>
      <c r="H84" s="173"/>
      <c r="I84" s="127"/>
      <c r="J84" s="103"/>
      <c r="K84" s="101"/>
    </row>
    <row r="85" spans="1:11" s="115" customFormat="1" x14ac:dyDescent="0.35">
      <c r="A85" s="78"/>
      <c r="B85" s="109"/>
      <c r="C85" s="274"/>
      <c r="D85" s="274"/>
      <c r="E85" s="121"/>
      <c r="F85" s="106"/>
      <c r="G85" s="106"/>
      <c r="H85" s="173"/>
      <c r="I85" s="127"/>
      <c r="K85" s="78"/>
    </row>
    <row r="86" spans="1:11" s="115" customFormat="1" x14ac:dyDescent="0.35">
      <c r="A86" s="78"/>
      <c r="B86" s="109"/>
      <c r="C86" s="274"/>
      <c r="D86" s="274"/>
      <c r="E86" s="121"/>
      <c r="F86" s="106"/>
      <c r="G86" s="106"/>
      <c r="H86" s="173"/>
      <c r="I86" s="127"/>
      <c r="K86" s="78"/>
    </row>
    <row r="87" spans="1:11" s="115" customFormat="1" x14ac:dyDescent="0.35">
      <c r="A87" s="78"/>
      <c r="B87" s="110"/>
      <c r="C87" s="275"/>
      <c r="D87" s="275"/>
      <c r="E87" s="128"/>
      <c r="F87" s="108"/>
      <c r="G87" s="108"/>
      <c r="H87" s="174"/>
      <c r="I87" s="111"/>
      <c r="J87" s="103"/>
      <c r="K87" s="101"/>
    </row>
    <row r="88" spans="1:11" s="115" customFormat="1" x14ac:dyDescent="0.35">
      <c r="A88" s="78"/>
      <c r="B88" s="110"/>
      <c r="C88" s="275"/>
      <c r="D88" s="275"/>
      <c r="E88" s="128"/>
      <c r="F88" s="108"/>
      <c r="G88" s="108"/>
      <c r="H88" s="174"/>
      <c r="I88" s="111"/>
      <c r="J88" s="103"/>
      <c r="K88" s="101"/>
    </row>
    <row r="89" spans="1:11" s="115" customFormat="1" x14ac:dyDescent="0.35">
      <c r="A89" s="78"/>
      <c r="B89" s="103"/>
      <c r="C89" s="275"/>
      <c r="D89" s="275"/>
      <c r="E89" s="102"/>
      <c r="F89" s="108"/>
      <c r="G89" s="108"/>
      <c r="H89" s="174"/>
      <c r="I89" s="101"/>
      <c r="J89" s="101"/>
      <c r="K89" s="101"/>
    </row>
    <row r="90" spans="1:11" s="115" customFormat="1" x14ac:dyDescent="0.35">
      <c r="A90" s="101"/>
      <c r="B90" s="103"/>
      <c r="C90" s="275"/>
      <c r="D90" s="275"/>
      <c r="E90" s="102"/>
      <c r="F90" s="108"/>
      <c r="G90" s="108"/>
      <c r="H90" s="174"/>
      <c r="I90" s="101"/>
      <c r="J90" s="101"/>
      <c r="K90" s="101"/>
    </row>
    <row r="91" spans="1:11" s="115" customFormat="1" x14ac:dyDescent="0.35">
      <c r="A91" s="101"/>
      <c r="B91" s="103"/>
      <c r="C91" s="275"/>
      <c r="D91" s="275"/>
      <c r="E91" s="102"/>
      <c r="F91" s="108"/>
      <c r="G91" s="108"/>
      <c r="H91" s="174"/>
      <c r="I91" s="101"/>
      <c r="J91" s="101"/>
      <c r="K91" s="101"/>
    </row>
    <row r="92" spans="1:11" s="103" customFormat="1" ht="50.25" customHeight="1" x14ac:dyDescent="0.35">
      <c r="A92" s="101"/>
      <c r="C92" s="275"/>
      <c r="D92" s="275"/>
      <c r="E92" s="102"/>
      <c r="F92" s="108"/>
      <c r="G92" s="108"/>
      <c r="H92" s="174"/>
      <c r="I92" s="101"/>
      <c r="J92" s="101"/>
      <c r="K92" s="101"/>
    </row>
    <row r="93" spans="1:11" s="103" customFormat="1" ht="38.25" customHeight="1" x14ac:dyDescent="0.35">
      <c r="A93" s="99"/>
      <c r="B93" s="99"/>
      <c r="C93" s="275"/>
      <c r="D93" s="275"/>
      <c r="E93" s="102"/>
      <c r="F93" s="108"/>
      <c r="G93" s="108"/>
      <c r="H93" s="168"/>
      <c r="I93" s="99"/>
      <c r="J93" s="101"/>
      <c r="K93" s="101"/>
    </row>
    <row r="94" spans="1:11" s="103" customFormat="1" ht="38.25" customHeight="1" x14ac:dyDescent="0.35">
      <c r="A94" s="99"/>
      <c r="B94" s="99"/>
      <c r="C94" s="275"/>
      <c r="D94" s="275"/>
      <c r="E94" s="102"/>
      <c r="F94" s="108"/>
      <c r="G94" s="108"/>
      <c r="H94" s="168"/>
      <c r="I94" s="101"/>
      <c r="J94" s="101"/>
      <c r="K94" s="101"/>
    </row>
    <row r="95" spans="1:11" s="103" customFormat="1" ht="38.25" customHeight="1" x14ac:dyDescent="0.35">
      <c r="A95" s="99"/>
      <c r="B95" s="51"/>
      <c r="C95" s="125"/>
      <c r="D95" s="40"/>
      <c r="E95" s="50"/>
      <c r="F95" s="106"/>
      <c r="G95" s="106"/>
      <c r="H95" s="173"/>
      <c r="I95" s="40"/>
      <c r="J95" s="40"/>
      <c r="K95" s="101"/>
    </row>
    <row r="96" spans="1:11" s="103" customFormat="1" ht="38.25" customHeight="1" x14ac:dyDescent="0.35">
      <c r="A96" s="99"/>
      <c r="B96" s="101"/>
      <c r="C96" s="281"/>
      <c r="D96" s="282"/>
      <c r="E96" s="105"/>
      <c r="F96" s="106"/>
      <c r="G96" s="106"/>
      <c r="H96" s="173"/>
      <c r="I96" s="101"/>
      <c r="J96" s="101"/>
      <c r="K96" s="101"/>
    </row>
    <row r="97" spans="1:11" s="103" customFormat="1" ht="38.25" customHeight="1" x14ac:dyDescent="0.35">
      <c r="A97" s="99"/>
      <c r="C97" s="281"/>
      <c r="D97" s="282"/>
      <c r="E97" s="105"/>
      <c r="F97" s="106"/>
      <c r="G97" s="106"/>
      <c r="H97" s="173"/>
      <c r="I97" s="101"/>
      <c r="J97" s="101"/>
      <c r="K97" s="101"/>
    </row>
    <row r="98" spans="1:11" s="103" customFormat="1" ht="38.25" customHeight="1" x14ac:dyDescent="0.35">
      <c r="A98" s="99"/>
      <c r="B98" s="101"/>
      <c r="C98" s="281"/>
      <c r="D98" s="282"/>
      <c r="E98" s="105"/>
      <c r="F98" s="106"/>
      <c r="G98" s="106"/>
      <c r="H98" s="173"/>
      <c r="I98" s="101"/>
      <c r="J98" s="101"/>
      <c r="K98" s="101"/>
    </row>
    <row r="99" spans="1:11" s="103" customFormat="1" ht="38.25" customHeight="1" x14ac:dyDescent="0.35">
      <c r="A99" s="99"/>
      <c r="C99" s="281"/>
      <c r="D99" s="283"/>
      <c r="E99" s="105"/>
      <c r="F99" s="106"/>
      <c r="G99" s="106"/>
      <c r="H99" s="173"/>
      <c r="I99" s="101"/>
      <c r="J99" s="101"/>
      <c r="K99" s="101"/>
    </row>
    <row r="100" spans="1:11" s="103" customFormat="1" ht="38.25" customHeight="1" x14ac:dyDescent="0.35">
      <c r="A100" s="99"/>
      <c r="C100" s="281"/>
      <c r="D100" s="282"/>
      <c r="E100" s="102"/>
      <c r="F100" s="108"/>
      <c r="G100" s="108"/>
      <c r="H100" s="174"/>
      <c r="I100" s="101"/>
      <c r="J100" s="101"/>
      <c r="K100" s="101"/>
    </row>
    <row r="101" spans="1:11" s="126" customFormat="1" ht="38.25" customHeight="1" x14ac:dyDescent="0.35">
      <c r="A101" s="113"/>
      <c r="B101" s="115"/>
      <c r="C101" s="276"/>
      <c r="D101" s="277"/>
      <c r="E101" s="105"/>
      <c r="F101" s="106"/>
      <c r="G101" s="106"/>
      <c r="H101" s="173"/>
      <c r="I101" s="78"/>
      <c r="J101" s="101"/>
      <c r="K101" s="78"/>
    </row>
    <row r="102" spans="1:11" s="126" customFormat="1" ht="38.25" customHeight="1" x14ac:dyDescent="0.35">
      <c r="A102" s="99"/>
      <c r="B102" s="103"/>
      <c r="C102" s="281"/>
      <c r="D102" s="282"/>
      <c r="E102" s="102"/>
      <c r="F102" s="108"/>
      <c r="G102" s="108"/>
      <c r="H102" s="174"/>
      <c r="I102" s="101"/>
      <c r="J102" s="101"/>
      <c r="K102" s="101"/>
    </row>
    <row r="103" spans="1:11" s="115" customFormat="1" ht="38.25" customHeight="1" x14ac:dyDescent="0.35">
      <c r="A103" s="99"/>
      <c r="B103" s="103"/>
      <c r="C103" s="125"/>
      <c r="D103" s="40"/>
      <c r="E103" s="50"/>
      <c r="F103" s="108"/>
      <c r="G103" s="108"/>
      <c r="H103" s="174"/>
      <c r="I103" s="111"/>
      <c r="J103" s="101"/>
      <c r="K103" s="78"/>
    </row>
    <row r="104" spans="1:11" s="115" customFormat="1" ht="38.25" customHeight="1" x14ac:dyDescent="0.35">
      <c r="A104" s="113"/>
      <c r="C104" s="276"/>
      <c r="D104" s="277"/>
      <c r="E104" s="105"/>
      <c r="F104" s="106"/>
      <c r="G104" s="106"/>
      <c r="H104" s="173"/>
      <c r="I104" s="78"/>
      <c r="J104" s="78"/>
      <c r="K104" s="78"/>
    </row>
    <row r="105" spans="1:11" s="115" customFormat="1" ht="38.25" customHeight="1" x14ac:dyDescent="0.35">
      <c r="A105" s="113"/>
      <c r="C105" s="276"/>
      <c r="D105" s="277"/>
      <c r="E105" s="105"/>
      <c r="F105" s="106"/>
      <c r="G105" s="106"/>
      <c r="H105" s="173"/>
      <c r="I105" s="78"/>
      <c r="J105" s="78"/>
      <c r="K105" s="78"/>
    </row>
    <row r="106" spans="1:11" s="47" customFormat="1" ht="29.15" customHeight="1" x14ac:dyDescent="0.35">
      <c r="A106" s="113"/>
      <c r="B106" s="115"/>
      <c r="C106" s="276"/>
      <c r="D106" s="278"/>
      <c r="E106" s="105"/>
      <c r="F106" s="106"/>
      <c r="G106" s="106"/>
      <c r="H106" s="173"/>
      <c r="I106" s="78"/>
      <c r="J106" s="78"/>
      <c r="K106" s="78"/>
    </row>
    <row r="107" spans="1:11" s="47" customFormat="1" ht="28.5" customHeight="1" x14ac:dyDescent="0.35">
      <c r="B107" s="94"/>
      <c r="C107" s="94"/>
      <c r="D107" s="94"/>
      <c r="E107" s="93"/>
      <c r="G107" s="93"/>
      <c r="H107" s="175"/>
      <c r="I107" s="40"/>
      <c r="J107" s="40"/>
      <c r="K107" s="40"/>
    </row>
    <row r="108" spans="1:11" s="47" customFormat="1" ht="29.15" customHeight="1" x14ac:dyDescent="0.35">
      <c r="A108" s="268"/>
      <c r="B108" s="268"/>
      <c r="C108" s="268"/>
      <c r="D108" s="268"/>
      <c r="E108" s="268"/>
      <c r="F108" s="268"/>
      <c r="G108" s="268"/>
      <c r="H108" s="268"/>
      <c r="I108" s="268"/>
      <c r="J108" s="268"/>
      <c r="K108" s="268"/>
    </row>
    <row r="109" spans="1:11" s="47" customFormat="1" ht="51" customHeight="1" x14ac:dyDescent="0.35">
      <c r="A109" s="268"/>
      <c r="B109" s="268"/>
      <c r="C109" s="268"/>
      <c r="D109" s="268"/>
      <c r="E109" s="268"/>
      <c r="F109" s="268"/>
      <c r="G109" s="268"/>
      <c r="H109" s="268"/>
      <c r="I109" s="268"/>
      <c r="J109" s="268"/>
      <c r="K109" s="268"/>
    </row>
    <row r="110" spans="1:11" s="51" customFormat="1" ht="18" x14ac:dyDescent="0.35">
      <c r="A110" s="93"/>
      <c r="B110" s="93"/>
      <c r="C110" s="94"/>
      <c r="D110" s="94"/>
      <c r="E110" s="93"/>
      <c r="F110" s="84"/>
      <c r="G110" s="104"/>
      <c r="H110" s="165"/>
      <c r="I110" s="94"/>
      <c r="J110" s="94"/>
      <c r="K110" s="94"/>
    </row>
    <row r="111" spans="1:11" s="51" customFormat="1" ht="18" x14ac:dyDescent="0.35">
      <c r="A111" s="113"/>
      <c r="B111" s="78"/>
      <c r="C111" s="274"/>
      <c r="D111" s="274"/>
      <c r="E111" s="112"/>
      <c r="F111" s="90"/>
      <c r="G111" s="112"/>
      <c r="H111" s="160"/>
      <c r="I111" s="78"/>
      <c r="J111" s="78"/>
      <c r="K111" s="78"/>
    </row>
    <row r="112" spans="1:11" s="51" customFormat="1" ht="29.15" customHeight="1" x14ac:dyDescent="0.35">
      <c r="A112" s="47"/>
      <c r="B112" s="40"/>
      <c r="C112" s="40"/>
      <c r="D112" s="40"/>
      <c r="E112" s="50"/>
      <c r="G112" s="50"/>
      <c r="H112" s="165"/>
      <c r="I112" s="40"/>
      <c r="J112" s="40"/>
      <c r="K112" s="40"/>
    </row>
    <row r="113" spans="1:11" s="51" customFormat="1" ht="29.15" customHeight="1" x14ac:dyDescent="0.35">
      <c r="A113" s="47"/>
      <c r="B113" s="40"/>
      <c r="C113" s="40"/>
      <c r="D113" s="40"/>
      <c r="E113" s="50"/>
      <c r="G113" s="50"/>
      <c r="H113" s="160"/>
      <c r="I113" s="40"/>
      <c r="J113" s="40"/>
      <c r="K113" s="40"/>
    </row>
    <row r="114" spans="1:11" s="47" customFormat="1" ht="29.15" customHeight="1" x14ac:dyDescent="0.35">
      <c r="A114" s="268"/>
      <c r="B114" s="268"/>
      <c r="C114" s="268"/>
      <c r="D114" s="268"/>
      <c r="E114" s="268"/>
      <c r="F114" s="268"/>
      <c r="G114" s="268"/>
      <c r="H114" s="268"/>
      <c r="I114" s="268"/>
      <c r="J114" s="268"/>
      <c r="K114" s="268"/>
    </row>
    <row r="115" spans="1:11" s="51" customFormat="1" ht="52.5" customHeight="1" x14ac:dyDescent="0.35">
      <c r="A115" s="268"/>
      <c r="B115" s="268"/>
      <c r="C115" s="268"/>
      <c r="D115" s="268"/>
      <c r="E115" s="268"/>
      <c r="F115" s="268"/>
      <c r="G115" s="268"/>
      <c r="H115" s="268"/>
      <c r="I115" s="268"/>
      <c r="J115" s="268"/>
      <c r="K115" s="268"/>
    </row>
    <row r="116" spans="1:11" s="115" customFormat="1" ht="18" x14ac:dyDescent="0.35">
      <c r="A116" s="93"/>
      <c r="B116" s="93"/>
      <c r="C116" s="94"/>
      <c r="D116" s="94"/>
      <c r="E116" s="93"/>
      <c r="F116" s="90"/>
      <c r="G116" s="112"/>
      <c r="H116" s="165"/>
      <c r="I116" s="94"/>
      <c r="J116" s="94"/>
      <c r="K116" s="94"/>
    </row>
    <row r="117" spans="1:11" s="115" customFormat="1" x14ac:dyDescent="0.35">
      <c r="A117" s="98"/>
      <c r="B117" s="114"/>
      <c r="C117" s="130"/>
      <c r="D117" s="131"/>
      <c r="E117" s="50"/>
      <c r="F117" s="51"/>
      <c r="G117" s="100"/>
      <c r="H117" s="160"/>
      <c r="I117" s="101"/>
      <c r="J117" s="103"/>
      <c r="K117" s="101"/>
    </row>
    <row r="118" spans="1:11" s="115" customFormat="1" x14ac:dyDescent="0.35">
      <c r="A118" s="107"/>
      <c r="B118" s="99"/>
      <c r="C118" s="275"/>
      <c r="D118" s="275"/>
      <c r="E118" s="102"/>
      <c r="F118" s="108"/>
      <c r="G118" s="108"/>
      <c r="H118" s="176"/>
      <c r="I118" s="103"/>
      <c r="J118" s="101"/>
      <c r="K118" s="101"/>
    </row>
    <row r="119" spans="1:11" s="103" customFormat="1" x14ac:dyDescent="0.35">
      <c r="A119" s="99"/>
      <c r="B119" s="99"/>
      <c r="C119" s="275"/>
      <c r="D119" s="275"/>
      <c r="E119" s="102"/>
      <c r="F119" s="108"/>
      <c r="G119" s="108"/>
      <c r="H119" s="176"/>
      <c r="I119" s="99"/>
      <c r="J119" s="101"/>
      <c r="K119" s="101"/>
    </row>
    <row r="120" spans="1:11" s="103" customFormat="1" x14ac:dyDescent="0.35">
      <c r="A120" s="99"/>
      <c r="B120" s="99"/>
      <c r="C120" s="102"/>
      <c r="D120" s="275"/>
      <c r="E120" s="275"/>
      <c r="F120" s="108"/>
      <c r="G120" s="108"/>
      <c r="H120" s="176"/>
      <c r="I120" s="99"/>
      <c r="J120" s="101"/>
      <c r="K120" s="101"/>
    </row>
    <row r="121" spans="1:11" s="103" customFormat="1" x14ac:dyDescent="0.35">
      <c r="A121" s="99"/>
      <c r="B121" s="99"/>
      <c r="C121" s="275"/>
      <c r="D121" s="275"/>
      <c r="E121" s="102"/>
      <c r="F121" s="108"/>
      <c r="G121" s="108"/>
      <c r="H121" s="176"/>
      <c r="I121" s="99"/>
      <c r="J121" s="101"/>
      <c r="K121" s="101"/>
    </row>
    <row r="122" spans="1:11" s="103" customFormat="1" x14ac:dyDescent="0.35">
      <c r="A122" s="113"/>
      <c r="B122" s="113"/>
      <c r="C122" s="274"/>
      <c r="D122" s="274"/>
      <c r="E122" s="105"/>
      <c r="F122" s="106"/>
      <c r="G122" s="106"/>
      <c r="H122" s="177"/>
      <c r="I122" s="113"/>
      <c r="J122" s="78"/>
      <c r="K122" s="78"/>
    </row>
    <row r="123" spans="1:11" s="103" customFormat="1" x14ac:dyDescent="0.35">
      <c r="A123" s="113"/>
      <c r="B123" s="99"/>
      <c r="C123" s="275"/>
      <c r="D123" s="275"/>
      <c r="E123" s="102"/>
      <c r="F123" s="108"/>
      <c r="G123" s="108"/>
      <c r="H123" s="176"/>
      <c r="I123" s="99"/>
      <c r="J123" s="101"/>
      <c r="K123" s="101"/>
    </row>
    <row r="124" spans="1:11" s="103" customFormat="1" x14ac:dyDescent="0.35">
      <c r="A124" s="113"/>
      <c r="B124" s="113"/>
      <c r="C124" s="274"/>
      <c r="D124" s="274"/>
      <c r="E124" s="105"/>
      <c r="F124" s="106"/>
      <c r="G124" s="106"/>
      <c r="H124" s="177"/>
      <c r="I124" s="113"/>
      <c r="J124" s="78"/>
      <c r="K124" s="78"/>
    </row>
    <row r="125" spans="1:11" s="51" customFormat="1" ht="42.75" customHeight="1" x14ac:dyDescent="0.35">
      <c r="A125" s="113"/>
      <c r="B125" s="113"/>
      <c r="C125" s="105"/>
      <c r="D125" s="105"/>
      <c r="E125" s="105"/>
      <c r="F125" s="106"/>
      <c r="G125" s="106"/>
      <c r="H125" s="177"/>
      <c r="I125" s="113"/>
      <c r="J125" s="78"/>
      <c r="K125" s="78"/>
    </row>
    <row r="126" spans="1:11" s="51" customFormat="1" ht="29.15" customHeight="1" x14ac:dyDescent="0.35">
      <c r="A126" s="116"/>
      <c r="B126" s="114"/>
      <c r="C126" s="114"/>
      <c r="D126" s="114"/>
      <c r="E126" s="50"/>
      <c r="G126" s="100"/>
      <c r="H126" s="165"/>
      <c r="I126" s="40"/>
      <c r="J126" s="40"/>
      <c r="K126" s="40"/>
    </row>
    <row r="127" spans="1:11" s="51" customFormat="1" ht="29.15" customHeight="1" x14ac:dyDescent="0.35">
      <c r="A127" s="269"/>
      <c r="B127" s="269"/>
      <c r="C127" s="269"/>
      <c r="D127" s="269"/>
      <c r="E127" s="269"/>
      <c r="F127" s="269"/>
      <c r="G127" s="269"/>
      <c r="H127" s="269"/>
      <c r="I127" s="269"/>
      <c r="J127" s="269"/>
      <c r="K127" s="269"/>
    </row>
    <row r="128" spans="1:11" s="51" customFormat="1" ht="49.5" customHeight="1" x14ac:dyDescent="0.35">
      <c r="A128" s="269"/>
      <c r="B128" s="269"/>
      <c r="C128" s="269"/>
      <c r="D128" s="269"/>
      <c r="E128" s="269"/>
      <c r="F128" s="269"/>
      <c r="G128" s="269"/>
      <c r="H128" s="269"/>
      <c r="I128" s="269"/>
      <c r="J128" s="269"/>
      <c r="K128" s="269"/>
    </row>
    <row r="129" spans="1:11" s="103" customFormat="1" ht="18" x14ac:dyDescent="0.35">
      <c r="A129" s="93"/>
      <c r="B129" s="93"/>
      <c r="C129" s="94"/>
      <c r="D129" s="94"/>
      <c r="E129" s="93"/>
      <c r="F129" s="90"/>
      <c r="G129" s="112"/>
      <c r="H129" s="165"/>
      <c r="I129" s="94"/>
      <c r="J129" s="94"/>
      <c r="K129" s="94"/>
    </row>
    <row r="130" spans="1:11" s="103" customFormat="1" x14ac:dyDescent="0.35">
      <c r="A130" s="114"/>
      <c r="B130" s="114"/>
      <c r="C130" s="275"/>
      <c r="D130" s="275"/>
      <c r="E130" s="50"/>
      <c r="F130" s="106"/>
      <c r="G130" s="106"/>
      <c r="H130" s="177"/>
      <c r="I130" s="114"/>
      <c r="K130" s="101"/>
    </row>
    <row r="131" spans="1:11" s="103" customFormat="1" x14ac:dyDescent="0.35">
      <c r="A131" s="99"/>
      <c r="B131" s="99"/>
      <c r="C131" s="275"/>
      <c r="D131" s="275"/>
      <c r="E131" s="102"/>
      <c r="F131" s="108"/>
      <c r="G131" s="108"/>
      <c r="H131" s="176"/>
      <c r="I131" s="99"/>
      <c r="K131" s="101"/>
    </row>
    <row r="132" spans="1:11" s="103" customFormat="1" x14ac:dyDescent="0.35">
      <c r="A132" s="99"/>
      <c r="B132" s="99"/>
      <c r="C132" s="275"/>
      <c r="D132" s="275"/>
      <c r="E132" s="102"/>
      <c r="F132" s="108"/>
      <c r="G132" s="108"/>
      <c r="H132" s="176"/>
      <c r="I132" s="99"/>
      <c r="K132" s="101"/>
    </row>
    <row r="133" spans="1:11" s="103" customFormat="1" x14ac:dyDescent="0.35">
      <c r="A133" s="113"/>
      <c r="B133" s="99"/>
      <c r="C133" s="275"/>
      <c r="D133" s="275"/>
      <c r="E133" s="102"/>
      <c r="F133" s="108"/>
      <c r="G133" s="108"/>
      <c r="H133" s="176"/>
      <c r="I133" s="99"/>
      <c r="J133" s="101"/>
      <c r="K133" s="101"/>
    </row>
    <row r="134" spans="1:11" s="103" customFormat="1" x14ac:dyDescent="0.35">
      <c r="A134" s="113"/>
      <c r="B134" s="113"/>
      <c r="C134" s="274"/>
      <c r="D134" s="274"/>
      <c r="E134" s="105"/>
      <c r="F134" s="106"/>
      <c r="G134" s="106"/>
      <c r="H134" s="177"/>
      <c r="I134" s="113"/>
      <c r="J134" s="78"/>
      <c r="K134" s="78"/>
    </row>
    <row r="135" spans="1:11" s="103" customFormat="1" x14ac:dyDescent="0.35">
      <c r="A135" s="113"/>
      <c r="B135" s="113"/>
      <c r="C135" s="274"/>
      <c r="D135" s="274"/>
      <c r="E135" s="105"/>
      <c r="F135" s="106"/>
      <c r="G135" s="106"/>
      <c r="H135" s="177"/>
      <c r="I135" s="113"/>
      <c r="J135" s="78"/>
      <c r="K135" s="78"/>
    </row>
    <row r="136" spans="1:11" s="51" customFormat="1" ht="29.15" customHeight="1" x14ac:dyDescent="0.35">
      <c r="A136" s="113"/>
      <c r="B136" s="113"/>
      <c r="C136" s="274"/>
      <c r="D136" s="274"/>
      <c r="E136" s="105"/>
      <c r="F136" s="106"/>
      <c r="G136" s="106"/>
      <c r="H136" s="177"/>
      <c r="I136" s="113"/>
      <c r="J136" s="78"/>
      <c r="K136" s="78"/>
    </row>
    <row r="137" spans="1:11" s="51" customFormat="1" ht="29.15" customHeight="1" x14ac:dyDescent="0.35">
      <c r="A137" s="116"/>
      <c r="B137" s="114"/>
      <c r="C137" s="114"/>
      <c r="D137" s="114"/>
      <c r="E137" s="50"/>
      <c r="G137" s="50"/>
      <c r="H137" s="165"/>
      <c r="I137" s="40"/>
      <c r="J137" s="40"/>
    </row>
    <row r="138" spans="1:11" s="51" customFormat="1" ht="29.15" customHeight="1" x14ac:dyDescent="0.35">
      <c r="A138" s="269"/>
      <c r="B138" s="269"/>
      <c r="C138" s="269"/>
      <c r="D138" s="269"/>
      <c r="E138" s="269"/>
      <c r="F138" s="269"/>
      <c r="G138" s="269"/>
      <c r="H138" s="269"/>
      <c r="I138" s="269"/>
      <c r="J138" s="269"/>
      <c r="K138" s="269"/>
    </row>
    <row r="139" spans="1:11" s="51" customFormat="1" ht="49.5" customHeight="1" x14ac:dyDescent="0.35">
      <c r="A139" s="268"/>
      <c r="B139" s="268"/>
      <c r="C139" s="268"/>
      <c r="D139" s="268"/>
      <c r="E139" s="268"/>
      <c r="F139" s="268"/>
      <c r="G139" s="268"/>
      <c r="H139" s="268"/>
      <c r="I139" s="268"/>
      <c r="J139" s="268"/>
      <c r="K139" s="268"/>
    </row>
    <row r="140" spans="1:11" s="51" customFormat="1" ht="18" x14ac:dyDescent="0.35">
      <c r="A140" s="93"/>
      <c r="B140" s="93"/>
      <c r="C140" s="94"/>
      <c r="D140" s="94"/>
      <c r="E140" s="93"/>
      <c r="F140" s="90"/>
      <c r="G140" s="112"/>
      <c r="H140" s="165"/>
      <c r="I140" s="94"/>
      <c r="J140" s="94"/>
      <c r="K140" s="94"/>
    </row>
    <row r="141" spans="1:11" s="51" customFormat="1" x14ac:dyDescent="0.35">
      <c r="A141" s="114"/>
      <c r="B141" s="101"/>
      <c r="C141" s="280"/>
      <c r="D141" s="280"/>
      <c r="E141" s="102"/>
      <c r="F141" s="108"/>
      <c r="G141" s="108"/>
      <c r="H141" s="160"/>
      <c r="I141" s="99"/>
      <c r="J141" s="101"/>
      <c r="K141" s="101"/>
    </row>
    <row r="142" spans="1:11" s="51" customFormat="1" x14ac:dyDescent="0.35">
      <c r="A142" s="114"/>
      <c r="B142" s="101"/>
      <c r="C142" s="280"/>
      <c r="D142" s="280"/>
      <c r="E142" s="102"/>
      <c r="F142" s="108"/>
      <c r="G142" s="108"/>
      <c r="H142" s="168"/>
      <c r="I142" s="99"/>
      <c r="J142" s="101"/>
      <c r="K142" s="101"/>
    </row>
    <row r="143" spans="1:11" s="51" customFormat="1" x14ac:dyDescent="0.35">
      <c r="A143" s="114"/>
      <c r="B143" s="101"/>
      <c r="C143" s="280"/>
      <c r="D143" s="280"/>
      <c r="E143" s="102"/>
      <c r="F143" s="108"/>
      <c r="G143" s="108"/>
      <c r="H143" s="160"/>
      <c r="I143" s="99"/>
      <c r="J143" s="101"/>
      <c r="K143" s="101"/>
    </row>
    <row r="144" spans="1:11" s="51" customFormat="1" x14ac:dyDescent="0.35">
      <c r="A144" s="114"/>
      <c r="B144" s="101"/>
      <c r="C144" s="280"/>
      <c r="D144" s="280"/>
      <c r="E144" s="102"/>
      <c r="F144" s="108"/>
      <c r="G144" s="108"/>
      <c r="H144" s="160"/>
      <c r="I144" s="99"/>
      <c r="J144" s="101"/>
      <c r="K144" s="101"/>
    </row>
    <row r="145" spans="1:11" s="51" customFormat="1" x14ac:dyDescent="0.35">
      <c r="A145" s="114"/>
      <c r="B145" s="101"/>
      <c r="C145" s="280"/>
      <c r="D145" s="280"/>
      <c r="E145" s="102"/>
      <c r="F145" s="108"/>
      <c r="G145" s="108"/>
      <c r="H145" s="160"/>
      <c r="I145" s="99"/>
      <c r="J145" s="101"/>
      <c r="K145" s="101"/>
    </row>
    <row r="146" spans="1:11" s="51" customFormat="1" x14ac:dyDescent="0.35">
      <c r="A146" s="114"/>
      <c r="B146" s="101"/>
      <c r="C146" s="280"/>
      <c r="D146" s="280"/>
      <c r="E146" s="50"/>
      <c r="F146" s="106"/>
      <c r="G146" s="106"/>
      <c r="H146" s="160"/>
      <c r="I146" s="99"/>
      <c r="J146" s="101"/>
      <c r="K146" s="101"/>
    </row>
    <row r="147" spans="1:11" s="51" customFormat="1" x14ac:dyDescent="0.35">
      <c r="A147" s="114"/>
      <c r="B147" s="101"/>
      <c r="C147" s="280"/>
      <c r="D147" s="280"/>
      <c r="E147" s="50"/>
      <c r="F147" s="106"/>
      <c r="G147" s="106"/>
      <c r="H147" s="160"/>
      <c r="I147" s="99"/>
      <c r="J147" s="101"/>
      <c r="K147" s="101"/>
    </row>
    <row r="148" spans="1:11" s="51" customFormat="1" x14ac:dyDescent="0.35">
      <c r="A148" s="114"/>
      <c r="B148" s="101"/>
      <c r="C148" s="280"/>
      <c r="D148" s="280"/>
      <c r="E148" s="50"/>
      <c r="F148" s="106"/>
      <c r="G148" s="106"/>
      <c r="H148" s="160"/>
      <c r="I148" s="99"/>
      <c r="J148" s="101"/>
      <c r="K148" s="101"/>
    </row>
    <row r="149" spans="1:11" s="51" customFormat="1" x14ac:dyDescent="0.35">
      <c r="A149" s="114"/>
      <c r="B149" s="101"/>
      <c r="C149" s="280"/>
      <c r="D149" s="280"/>
      <c r="E149" s="50"/>
      <c r="F149" s="106"/>
      <c r="G149" s="106"/>
      <c r="H149" s="160"/>
      <c r="I149" s="99"/>
      <c r="J149" s="101"/>
      <c r="K149" s="101"/>
    </row>
    <row r="150" spans="1:11" s="51" customFormat="1" x14ac:dyDescent="0.35">
      <c r="A150" s="114"/>
      <c r="B150" s="101"/>
      <c r="C150" s="280"/>
      <c r="D150" s="280"/>
      <c r="E150" s="50"/>
      <c r="F150" s="106"/>
      <c r="G150" s="106"/>
      <c r="H150" s="160"/>
      <c r="I150" s="99"/>
      <c r="J150" s="101"/>
      <c r="K150" s="101"/>
    </row>
    <row r="151" spans="1:11" s="110" customFormat="1" x14ac:dyDescent="0.35">
      <c r="A151" s="114"/>
      <c r="B151" s="101"/>
      <c r="C151" s="280"/>
      <c r="D151" s="280"/>
      <c r="E151" s="50"/>
      <c r="F151" s="106"/>
      <c r="G151" s="106"/>
      <c r="H151" s="160"/>
      <c r="I151" s="99"/>
      <c r="J151" s="101"/>
      <c r="K151" s="101"/>
    </row>
    <row r="152" spans="1:11" s="103" customFormat="1" ht="18.5" x14ac:dyDescent="0.35">
      <c r="A152" s="99"/>
      <c r="B152" s="101"/>
      <c r="C152" s="280"/>
      <c r="D152" s="285"/>
      <c r="E152" s="128"/>
      <c r="F152" s="132"/>
      <c r="G152" s="132"/>
      <c r="H152" s="174"/>
      <c r="I152" s="99"/>
      <c r="J152" s="101"/>
      <c r="K152" s="99"/>
    </row>
    <row r="153" spans="1:11" s="103" customFormat="1" x14ac:dyDescent="0.35">
      <c r="A153" s="99"/>
      <c r="B153" s="101"/>
      <c r="C153" s="280"/>
      <c r="D153" s="280"/>
      <c r="E153" s="102"/>
      <c r="F153" s="108"/>
      <c r="G153" s="108"/>
      <c r="H153" s="168"/>
      <c r="I153" s="99"/>
      <c r="J153" s="101"/>
      <c r="K153" s="101"/>
    </row>
    <row r="154" spans="1:11" s="103" customFormat="1" x14ac:dyDescent="0.35">
      <c r="A154" s="99"/>
      <c r="B154" s="101"/>
      <c r="C154" s="280"/>
      <c r="D154" s="280"/>
      <c r="E154" s="102"/>
      <c r="F154" s="108"/>
      <c r="G154" s="108"/>
      <c r="H154" s="168"/>
      <c r="I154" s="99"/>
      <c r="J154" s="101"/>
      <c r="K154" s="101"/>
    </row>
    <row r="155" spans="1:11" s="103" customFormat="1" ht="18.5" x14ac:dyDescent="0.35">
      <c r="A155" s="99"/>
      <c r="B155" s="101"/>
      <c r="C155" s="280"/>
      <c r="D155" s="285"/>
      <c r="E155" s="102"/>
      <c r="F155" s="108"/>
      <c r="G155" s="108"/>
      <c r="H155" s="168"/>
      <c r="I155" s="99"/>
      <c r="J155" s="101"/>
      <c r="K155" s="101"/>
    </row>
    <row r="156" spans="1:11" s="103" customFormat="1" x14ac:dyDescent="0.35">
      <c r="A156" s="99"/>
      <c r="B156" s="101"/>
      <c r="C156" s="280"/>
      <c r="D156" s="280"/>
      <c r="E156" s="102"/>
      <c r="F156" s="108"/>
      <c r="G156" s="108"/>
      <c r="H156" s="168"/>
      <c r="I156" s="99"/>
      <c r="J156" s="101"/>
      <c r="K156" s="101"/>
    </row>
    <row r="157" spans="1:11" s="103" customFormat="1" ht="18.5" x14ac:dyDescent="0.35">
      <c r="A157" s="99"/>
      <c r="B157" s="101"/>
      <c r="C157" s="280"/>
      <c r="D157" s="285"/>
      <c r="E157" s="102"/>
      <c r="F157" s="108"/>
      <c r="G157" s="108"/>
      <c r="H157" s="168"/>
      <c r="I157" s="99"/>
      <c r="J157" s="101"/>
      <c r="K157" s="101"/>
    </row>
    <row r="158" spans="1:11" s="103" customFormat="1" ht="18.5" x14ac:dyDescent="0.35">
      <c r="A158" s="99"/>
      <c r="B158" s="101"/>
      <c r="C158" s="280"/>
      <c r="D158" s="285"/>
      <c r="E158" s="102"/>
      <c r="F158" s="108"/>
      <c r="G158" s="108"/>
      <c r="H158" s="168"/>
      <c r="I158" s="99"/>
      <c r="J158" s="101"/>
      <c r="K158" s="101"/>
    </row>
    <row r="159" spans="1:11" s="103" customFormat="1" ht="18.5" x14ac:dyDescent="0.35">
      <c r="A159" s="99"/>
      <c r="B159" s="101"/>
      <c r="C159" s="280"/>
      <c r="D159" s="285"/>
      <c r="E159" s="102"/>
      <c r="F159" s="108"/>
      <c r="G159" s="108"/>
      <c r="H159" s="168"/>
      <c r="I159" s="99"/>
      <c r="J159" s="101"/>
      <c r="K159" s="101"/>
    </row>
    <row r="160" spans="1:11" s="103" customFormat="1" x14ac:dyDescent="0.35">
      <c r="A160" s="99"/>
      <c r="B160" s="101"/>
      <c r="C160" s="280"/>
      <c r="D160" s="280"/>
      <c r="E160" s="102"/>
      <c r="F160" s="108"/>
      <c r="G160" s="108"/>
      <c r="H160" s="168"/>
      <c r="I160" s="99"/>
      <c r="J160" s="101"/>
      <c r="K160" s="101"/>
    </row>
    <row r="161" spans="1:11" s="103" customFormat="1" ht="18.5" x14ac:dyDescent="0.35">
      <c r="A161" s="113"/>
      <c r="B161" s="78"/>
      <c r="C161" s="286"/>
      <c r="D161" s="287"/>
      <c r="E161" s="105"/>
      <c r="F161" s="106"/>
      <c r="G161" s="106"/>
      <c r="H161" s="160"/>
      <c r="I161" s="113"/>
      <c r="J161" s="101"/>
      <c r="K161" s="78"/>
    </row>
    <row r="162" spans="1:11" s="103" customFormat="1" x14ac:dyDescent="0.35">
      <c r="A162" s="99"/>
      <c r="B162" s="101"/>
      <c r="C162" s="133"/>
      <c r="D162" s="133"/>
      <c r="E162" s="102"/>
      <c r="F162" s="108"/>
      <c r="G162" s="108"/>
      <c r="H162" s="168"/>
      <c r="I162" s="99"/>
      <c r="J162" s="101"/>
      <c r="K162" s="101"/>
    </row>
    <row r="163" spans="1:11" s="103" customFormat="1" ht="18.5" x14ac:dyDescent="0.35">
      <c r="A163" s="99"/>
      <c r="B163" s="101"/>
      <c r="C163" s="280"/>
      <c r="D163" s="285"/>
      <c r="E163" s="102"/>
      <c r="F163" s="108"/>
      <c r="G163" s="108"/>
      <c r="H163" s="168"/>
      <c r="I163" s="99"/>
      <c r="J163" s="101"/>
      <c r="K163" s="101"/>
    </row>
    <row r="164" spans="1:11" s="103" customFormat="1" ht="18.5" x14ac:dyDescent="0.35">
      <c r="A164" s="99"/>
      <c r="B164" s="101"/>
      <c r="C164" s="280"/>
      <c r="D164" s="285"/>
      <c r="E164" s="102"/>
      <c r="F164" s="108"/>
      <c r="G164" s="108"/>
      <c r="H164" s="168"/>
      <c r="I164" s="99"/>
      <c r="J164" s="101"/>
      <c r="K164" s="101"/>
    </row>
    <row r="165" spans="1:11" s="103" customFormat="1" ht="18.5" x14ac:dyDescent="0.35">
      <c r="A165" s="99"/>
      <c r="B165" s="101"/>
      <c r="C165" s="280"/>
      <c r="D165" s="285"/>
      <c r="E165" s="102"/>
      <c r="F165" s="108"/>
      <c r="G165" s="108"/>
      <c r="H165" s="168"/>
      <c r="I165" s="99"/>
      <c r="J165" s="101"/>
      <c r="K165" s="101"/>
    </row>
    <row r="166" spans="1:11" s="103" customFormat="1" ht="18.5" x14ac:dyDescent="0.35">
      <c r="A166" s="99"/>
      <c r="B166" s="101"/>
      <c r="C166" s="134"/>
      <c r="D166" s="135"/>
      <c r="E166" s="102"/>
      <c r="F166" s="108"/>
      <c r="G166" s="108"/>
      <c r="H166" s="168"/>
      <c r="I166" s="99"/>
      <c r="J166" s="101"/>
      <c r="K166" s="101"/>
    </row>
    <row r="167" spans="1:11" s="51" customFormat="1" ht="29.15" customHeight="1" x14ac:dyDescent="0.35">
      <c r="A167" s="113"/>
      <c r="B167" s="101"/>
      <c r="C167" s="134"/>
      <c r="D167" s="135"/>
      <c r="E167" s="102"/>
      <c r="F167" s="108"/>
      <c r="G167" s="108"/>
      <c r="H167" s="168"/>
      <c r="I167" s="101"/>
      <c r="J167" s="101"/>
      <c r="K167" s="101"/>
    </row>
    <row r="168" spans="1:11" s="51" customFormat="1" ht="29.15" customHeight="1" x14ac:dyDescent="0.35">
      <c r="A168" s="116"/>
      <c r="B168" s="114"/>
      <c r="C168" s="114"/>
      <c r="D168" s="114"/>
      <c r="E168" s="50"/>
      <c r="G168" s="50"/>
      <c r="H168" s="165"/>
      <c r="I168" s="40"/>
      <c r="J168" s="40"/>
    </row>
    <row r="169" spans="1:11" s="51" customFormat="1" ht="47.25" customHeight="1" x14ac:dyDescent="0.35">
      <c r="A169" s="122"/>
      <c r="B169" s="114"/>
      <c r="C169" s="114"/>
      <c r="D169" s="114"/>
      <c r="E169" s="50"/>
      <c r="G169" s="50"/>
      <c r="H169" s="160"/>
      <c r="I169" s="40"/>
      <c r="J169" s="40"/>
    </row>
    <row r="170" spans="1:11" s="97" customFormat="1" ht="18" x14ac:dyDescent="0.35">
      <c r="A170" s="117"/>
      <c r="B170" s="118"/>
      <c r="C170" s="118"/>
      <c r="D170" s="118"/>
      <c r="E170" s="93"/>
      <c r="F170" s="47"/>
      <c r="G170" s="93"/>
      <c r="H170" s="165"/>
      <c r="I170" s="40"/>
      <c r="J170" s="40"/>
      <c r="K170" s="51"/>
    </row>
    <row r="171" spans="1:11" s="97" customFormat="1" ht="18" x14ac:dyDescent="0.35">
      <c r="B171" s="119"/>
      <c r="C171" s="120"/>
      <c r="D171" s="120"/>
      <c r="E171" s="96"/>
      <c r="G171" s="96"/>
      <c r="H171" s="177"/>
      <c r="I171" s="95"/>
      <c r="J171" s="95"/>
    </row>
    <row r="172" spans="1:11" s="97" customFormat="1" ht="18" x14ac:dyDescent="0.35">
      <c r="A172" s="284"/>
      <c r="B172" s="284"/>
      <c r="C172" s="284"/>
      <c r="D172" s="284"/>
      <c r="E172" s="284"/>
      <c r="F172" s="284"/>
      <c r="G172" s="284"/>
      <c r="H172" s="284"/>
      <c r="I172" s="95"/>
      <c r="J172" s="95"/>
    </row>
    <row r="173" spans="1:11" s="97" customFormat="1" x14ac:dyDescent="0.35">
      <c r="B173" s="95"/>
      <c r="C173" s="95"/>
      <c r="D173" s="95"/>
      <c r="E173" s="96"/>
      <c r="G173" s="96"/>
      <c r="H173" s="177"/>
      <c r="I173" s="95"/>
      <c r="J173" s="95"/>
    </row>
    <row r="174" spans="1:11" s="97" customFormat="1" x14ac:dyDescent="0.35">
      <c r="B174" s="95"/>
      <c r="C174" s="95"/>
      <c r="D174" s="95"/>
      <c r="E174" s="96"/>
      <c r="G174" s="96"/>
      <c r="H174" s="177"/>
      <c r="I174" s="95"/>
      <c r="J174" s="95"/>
    </row>
    <row r="175" spans="1:11" x14ac:dyDescent="0.35">
      <c r="A175" s="97"/>
      <c r="B175" s="95"/>
      <c r="C175" s="95"/>
      <c r="D175" s="95"/>
      <c r="E175" s="123"/>
      <c r="F175" s="97"/>
      <c r="G175" s="96"/>
      <c r="H175" s="177"/>
      <c r="I175" s="95"/>
      <c r="J175" s="95"/>
      <c r="K175" s="97"/>
    </row>
    <row r="177" spans="5:9" x14ac:dyDescent="0.35">
      <c r="E177" s="62"/>
      <c r="G177" s="63"/>
      <c r="I177" s="64"/>
    </row>
  </sheetData>
  <mergeCells count="90">
    <mergeCell ref="C78:D78"/>
    <mergeCell ref="C122:D122"/>
    <mergeCell ref="C86:D86"/>
    <mergeCell ref="C96:D96"/>
    <mergeCell ref="C102:D102"/>
    <mergeCell ref="A1:H1"/>
    <mergeCell ref="A8:K8"/>
    <mergeCell ref="A9:K9"/>
    <mergeCell ref="A11:K11"/>
    <mergeCell ref="C149:D149"/>
    <mergeCell ref="C94:D94"/>
    <mergeCell ref="C142:D142"/>
    <mergeCell ref="C143:D143"/>
    <mergeCell ref="C145:D145"/>
    <mergeCell ref="C144:D144"/>
    <mergeCell ref="C119:D119"/>
    <mergeCell ref="C121:D121"/>
    <mergeCell ref="C141:D141"/>
    <mergeCell ref="A108:K108"/>
    <mergeCell ref="A109:K109"/>
    <mergeCell ref="C111:D111"/>
    <mergeCell ref="C164:D164"/>
    <mergeCell ref="C165:D165"/>
    <mergeCell ref="C87:D87"/>
    <mergeCell ref="C88:D88"/>
    <mergeCell ref="C84:D84"/>
    <mergeCell ref="C85:D85"/>
    <mergeCell ref="A138:K138"/>
    <mergeCell ref="A139:K139"/>
    <mergeCell ref="D120:E120"/>
    <mergeCell ref="C131:D131"/>
    <mergeCell ref="A115:K115"/>
    <mergeCell ref="C118:D118"/>
    <mergeCell ref="A127:K127"/>
    <mergeCell ref="A128:K128"/>
    <mergeCell ref="C130:D130"/>
    <mergeCell ref="C100:D100"/>
    <mergeCell ref="A172:H172"/>
    <mergeCell ref="C146:D146"/>
    <mergeCell ref="C157:D157"/>
    <mergeCell ref="C158:D158"/>
    <mergeCell ref="C153:D153"/>
    <mergeCell ref="C156:D156"/>
    <mergeCell ref="C150:D150"/>
    <mergeCell ref="C151:D151"/>
    <mergeCell ref="C154:D154"/>
    <mergeCell ref="C152:D152"/>
    <mergeCell ref="C155:D155"/>
    <mergeCell ref="C147:D147"/>
    <mergeCell ref="C148:D148"/>
    <mergeCell ref="C161:D161"/>
    <mergeCell ref="C159:D159"/>
    <mergeCell ref="C163:D163"/>
    <mergeCell ref="C160:D160"/>
    <mergeCell ref="A59:K59"/>
    <mergeCell ref="C79:D79"/>
    <mergeCell ref="C69:D69"/>
    <mergeCell ref="C80:D80"/>
    <mergeCell ref="C76:D76"/>
    <mergeCell ref="C97:D97"/>
    <mergeCell ref="C98:D98"/>
    <mergeCell ref="C99:D99"/>
    <mergeCell ref="A114:K114"/>
    <mergeCell ref="C101:D101"/>
    <mergeCell ref="C89:D89"/>
    <mergeCell ref="C90:D90"/>
    <mergeCell ref="C91:D91"/>
    <mergeCell ref="C92:D92"/>
    <mergeCell ref="C93:D93"/>
    <mergeCell ref="A39:K39"/>
    <mergeCell ref="A40:K40"/>
    <mergeCell ref="A45:K45"/>
    <mergeCell ref="A46:K46"/>
    <mergeCell ref="C136:D136"/>
    <mergeCell ref="A58:H58"/>
    <mergeCell ref="C134:D134"/>
    <mergeCell ref="C135:D135"/>
    <mergeCell ref="C132:D132"/>
    <mergeCell ref="C104:D104"/>
    <mergeCell ref="C105:D105"/>
    <mergeCell ref="C123:D123"/>
    <mergeCell ref="C133:D133"/>
    <mergeCell ref="C106:D106"/>
    <mergeCell ref="C124:D124"/>
    <mergeCell ref="C77:D77"/>
    <mergeCell ref="A10:K10"/>
    <mergeCell ref="A27:K27"/>
    <mergeCell ref="A33:K33"/>
    <mergeCell ref="A34:K34"/>
    <mergeCell ref="A28:K28"/>
  </mergeCells>
  <pageMargins left="0.7" right="0.7" top="0.75" bottom="0.75" header="0.3" footer="0.3"/>
  <pageSetup paperSize="8" scale="48" orientation="landscape" r:id="rId1"/>
  <rowBreaks count="2" manualBreakCount="2">
    <brk id="26" max="10" man="1"/>
    <brk id="38"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zoomScale="60" zoomScaleNormal="70" workbookViewId="0">
      <selection activeCell="J1" sqref="J1"/>
    </sheetView>
  </sheetViews>
  <sheetFormatPr defaultColWidth="9.1796875" defaultRowHeight="17.5" x14ac:dyDescent="0.35"/>
  <cols>
    <col min="1" max="1" width="46" style="29" customWidth="1"/>
    <col min="2" max="2" width="69.1796875" style="61" customWidth="1"/>
    <col min="3" max="3" width="20" style="61" customWidth="1"/>
    <col min="4" max="4" width="15.7265625" style="61" bestFit="1" customWidth="1"/>
    <col min="5" max="5" width="16.81640625" style="60" customWidth="1"/>
    <col min="6" max="6" width="13.1796875" style="29" customWidth="1"/>
    <col min="7" max="7" width="12.81640625" style="60" customWidth="1"/>
    <col min="8" max="8" width="23.26953125" style="163" bestFit="1" customWidth="1"/>
    <col min="9" max="9" width="39.7265625" style="61" customWidth="1"/>
    <col min="10" max="10" width="72.26953125" style="61" customWidth="1"/>
    <col min="11" max="11" width="21.1796875" style="29" customWidth="1"/>
    <col min="12" max="16384" width="9.1796875" style="29"/>
  </cols>
  <sheetData>
    <row r="1" spans="1:11" s="27" customFormat="1" ht="18" x14ac:dyDescent="0.35">
      <c r="A1" s="262"/>
      <c r="B1" s="262"/>
      <c r="C1" s="262"/>
      <c r="D1" s="262"/>
      <c r="E1" s="262"/>
      <c r="F1" s="262"/>
      <c r="G1" s="262"/>
      <c r="H1" s="262"/>
      <c r="I1" s="26"/>
      <c r="J1" s="26"/>
    </row>
    <row r="2" spans="1:11" s="27" customFormat="1" ht="18" x14ac:dyDescent="0.35">
      <c r="A2" s="28"/>
      <c r="B2" s="28"/>
      <c r="C2" s="28"/>
      <c r="D2" s="28"/>
      <c r="E2" s="28"/>
      <c r="F2" s="28"/>
      <c r="G2" s="28"/>
      <c r="H2" s="154"/>
      <c r="I2" s="26"/>
      <c r="J2" s="26"/>
    </row>
    <row r="3" spans="1:11" s="27" customFormat="1" ht="18" x14ac:dyDescent="0.35">
      <c r="A3" s="28"/>
      <c r="B3" s="28"/>
      <c r="C3" s="28"/>
      <c r="D3" s="28"/>
      <c r="E3" s="28"/>
      <c r="F3" s="28"/>
      <c r="G3" s="28"/>
      <c r="H3" s="154"/>
      <c r="I3" s="26"/>
      <c r="J3" s="26"/>
    </row>
    <row r="4" spans="1:11" s="27" customFormat="1" ht="18" x14ac:dyDescent="0.35">
      <c r="A4" s="28"/>
      <c r="B4" s="28"/>
      <c r="C4" s="28"/>
      <c r="D4" s="28"/>
      <c r="E4" s="28"/>
      <c r="F4" s="28"/>
      <c r="G4" s="28"/>
      <c r="H4" s="154"/>
      <c r="I4" s="26"/>
      <c r="J4" s="26"/>
    </row>
    <row r="5" spans="1:11" s="27" customFormat="1" ht="18" x14ac:dyDescent="0.35">
      <c r="A5" s="28"/>
      <c r="B5" s="28"/>
      <c r="C5" s="28"/>
      <c r="D5" s="28"/>
      <c r="E5" s="28"/>
      <c r="F5" s="28"/>
      <c r="G5" s="28"/>
      <c r="H5" s="154"/>
      <c r="I5" s="26"/>
      <c r="J5" s="26"/>
    </row>
    <row r="6" spans="1:11" s="27" customFormat="1" ht="18" x14ac:dyDescent="0.35">
      <c r="A6" s="28"/>
      <c r="B6" s="28"/>
      <c r="C6" s="28"/>
      <c r="D6" s="28"/>
      <c r="E6" s="28"/>
      <c r="F6" s="28"/>
      <c r="G6" s="28"/>
      <c r="H6" s="154"/>
      <c r="I6" s="26"/>
      <c r="J6" s="26"/>
    </row>
    <row r="7" spans="1:11" s="27" customFormat="1" ht="18" x14ac:dyDescent="0.35">
      <c r="A7" s="28"/>
      <c r="B7" s="28"/>
      <c r="C7" s="28"/>
      <c r="D7" s="28"/>
      <c r="E7" s="28"/>
      <c r="F7" s="28"/>
      <c r="G7" s="28"/>
      <c r="H7" s="154"/>
      <c r="I7" s="26"/>
      <c r="J7" s="26"/>
    </row>
    <row r="8" spans="1:11" s="27" customFormat="1" ht="38.25" customHeight="1" x14ac:dyDescent="0.35">
      <c r="A8" s="262"/>
      <c r="B8" s="262"/>
      <c r="C8" s="262"/>
      <c r="D8" s="262"/>
      <c r="E8" s="262"/>
      <c r="F8" s="262"/>
      <c r="G8" s="262"/>
      <c r="H8" s="262"/>
      <c r="I8" s="262"/>
      <c r="J8" s="262"/>
      <c r="K8" s="262"/>
    </row>
    <row r="9" spans="1:11" ht="41.25" customHeight="1" x14ac:dyDescent="0.35">
      <c r="A9" s="263" t="s">
        <v>32</v>
      </c>
      <c r="B9" s="263"/>
      <c r="C9" s="263"/>
      <c r="D9" s="263"/>
      <c r="E9" s="263"/>
      <c r="F9" s="263"/>
      <c r="G9" s="263"/>
      <c r="H9" s="263"/>
      <c r="I9" s="263"/>
      <c r="J9" s="263"/>
      <c r="K9" s="263"/>
    </row>
    <row r="10" spans="1:11" ht="29.15" customHeight="1" x14ac:dyDescent="0.35">
      <c r="A10" s="264"/>
      <c r="B10" s="264"/>
      <c r="C10" s="264"/>
      <c r="D10" s="264"/>
      <c r="E10" s="264"/>
      <c r="F10" s="264"/>
      <c r="G10" s="264"/>
      <c r="H10" s="264"/>
      <c r="I10" s="264"/>
      <c r="J10" s="264"/>
      <c r="K10" s="264"/>
    </row>
    <row r="11" spans="1:11" ht="36.75" customHeight="1" x14ac:dyDescent="0.35">
      <c r="A11" s="264" t="s">
        <v>16</v>
      </c>
      <c r="B11" s="264"/>
      <c r="C11" s="264"/>
      <c r="D11" s="264"/>
      <c r="E11" s="264"/>
      <c r="F11" s="264"/>
      <c r="G11" s="264"/>
      <c r="H11" s="264"/>
      <c r="I11" s="264"/>
      <c r="J11" s="264"/>
      <c r="K11" s="264"/>
    </row>
    <row r="12" spans="1:11" s="97" customFormat="1" ht="60.75" customHeight="1" x14ac:dyDescent="0.35">
      <c r="A12" s="146" t="s">
        <v>0</v>
      </c>
      <c r="B12" s="146" t="s">
        <v>1</v>
      </c>
      <c r="C12" s="147" t="s">
        <v>12</v>
      </c>
      <c r="D12" s="147" t="s">
        <v>13</v>
      </c>
      <c r="E12" s="146" t="s">
        <v>2</v>
      </c>
      <c r="F12" s="148" t="s">
        <v>3</v>
      </c>
      <c r="G12" s="146" t="s">
        <v>4</v>
      </c>
      <c r="H12" s="155" t="s">
        <v>5</v>
      </c>
      <c r="I12" s="150" t="s">
        <v>14</v>
      </c>
      <c r="J12" s="150" t="s">
        <v>10</v>
      </c>
      <c r="K12" s="150" t="s">
        <v>9</v>
      </c>
    </row>
    <row r="13" spans="1:11" s="51" customFormat="1" ht="58.5" customHeight="1" x14ac:dyDescent="0.35">
      <c r="A13" s="86" t="s">
        <v>153</v>
      </c>
      <c r="B13" s="237" t="s">
        <v>195</v>
      </c>
      <c r="C13" s="74" t="s">
        <v>55</v>
      </c>
      <c r="D13" s="74" t="s">
        <v>56</v>
      </c>
      <c r="E13" s="9" t="s">
        <v>57</v>
      </c>
      <c r="F13" s="70"/>
      <c r="G13" s="6"/>
      <c r="H13" s="12">
        <v>1896042.12</v>
      </c>
      <c r="I13" s="24" t="s">
        <v>193</v>
      </c>
      <c r="J13" s="237" t="s">
        <v>195</v>
      </c>
      <c r="K13" s="7" t="s">
        <v>196</v>
      </c>
    </row>
    <row r="14" spans="1:11" s="51" customFormat="1" ht="52.5" x14ac:dyDescent="0.35">
      <c r="A14" s="86" t="s">
        <v>154</v>
      </c>
      <c r="B14" s="75" t="s">
        <v>311</v>
      </c>
      <c r="C14" s="74" t="s">
        <v>55</v>
      </c>
      <c r="D14" s="74" t="s">
        <v>56</v>
      </c>
      <c r="E14" s="9" t="s">
        <v>57</v>
      </c>
      <c r="F14" s="70"/>
      <c r="G14" s="6"/>
      <c r="H14" s="12">
        <v>1451599.7</v>
      </c>
      <c r="I14" s="8" t="s">
        <v>193</v>
      </c>
      <c r="J14" s="75" t="s">
        <v>677</v>
      </c>
      <c r="K14" s="2" t="s">
        <v>312</v>
      </c>
    </row>
    <row r="15" spans="1:11" s="51" customFormat="1" ht="52.5" customHeight="1" x14ac:dyDescent="0.35">
      <c r="A15" s="86" t="s">
        <v>155</v>
      </c>
      <c r="B15" s="75" t="s">
        <v>192</v>
      </c>
      <c r="C15" s="74" t="s">
        <v>55</v>
      </c>
      <c r="D15" s="74" t="s">
        <v>56</v>
      </c>
      <c r="E15" s="9" t="s">
        <v>57</v>
      </c>
      <c r="F15" s="68"/>
      <c r="G15" s="10"/>
      <c r="H15" s="12">
        <v>1386280.01</v>
      </c>
      <c r="I15" s="8" t="s">
        <v>193</v>
      </c>
      <c r="J15" s="75" t="s">
        <v>678</v>
      </c>
      <c r="K15" s="2" t="s">
        <v>194</v>
      </c>
    </row>
    <row r="16" spans="1:11" s="51" customFormat="1" ht="52.5" customHeight="1" x14ac:dyDescent="0.35">
      <c r="A16" s="86" t="s">
        <v>326</v>
      </c>
      <c r="B16" s="75" t="s">
        <v>351</v>
      </c>
      <c r="C16" s="74" t="s">
        <v>352</v>
      </c>
      <c r="D16" s="74" t="s">
        <v>56</v>
      </c>
      <c r="E16" s="9" t="s">
        <v>353</v>
      </c>
      <c r="F16" s="68"/>
      <c r="G16" s="10"/>
      <c r="H16" s="12">
        <v>11577007.970000001</v>
      </c>
      <c r="I16" s="8" t="s">
        <v>193</v>
      </c>
      <c r="J16" s="75" t="s">
        <v>354</v>
      </c>
      <c r="K16" s="2" t="s">
        <v>355</v>
      </c>
    </row>
    <row r="17" spans="1:11" s="51" customFormat="1" ht="52.5" customHeight="1" x14ac:dyDescent="0.35">
      <c r="A17" s="86" t="s">
        <v>364</v>
      </c>
      <c r="B17" s="75" t="s">
        <v>413</v>
      </c>
      <c r="C17" s="74" t="s">
        <v>55</v>
      </c>
      <c r="D17" s="74" t="s">
        <v>56</v>
      </c>
      <c r="E17" s="9" t="s">
        <v>57</v>
      </c>
      <c r="F17" s="68"/>
      <c r="G17" s="10"/>
      <c r="H17" s="12">
        <v>1330167.28</v>
      </c>
      <c r="I17" s="8" t="s">
        <v>193</v>
      </c>
      <c r="J17" s="75" t="s">
        <v>679</v>
      </c>
      <c r="K17" s="2" t="s">
        <v>414</v>
      </c>
    </row>
    <row r="18" spans="1:11" s="51" customFormat="1" ht="52.5" customHeight="1" x14ac:dyDescent="0.35">
      <c r="A18" s="86" t="s">
        <v>433</v>
      </c>
      <c r="B18" s="75" t="s">
        <v>467</v>
      </c>
      <c r="C18" s="74" t="s">
        <v>55</v>
      </c>
      <c r="D18" s="74" t="s">
        <v>56</v>
      </c>
      <c r="E18" s="9" t="s">
        <v>57</v>
      </c>
      <c r="F18" s="68"/>
      <c r="G18" s="10"/>
      <c r="H18" s="12">
        <f>946348.2+344015.14+405051.89+343896.17+245036.16+91200</f>
        <v>2375547.56</v>
      </c>
      <c r="I18" s="8" t="s">
        <v>193</v>
      </c>
      <c r="J18" s="75" t="s">
        <v>467</v>
      </c>
      <c r="K18" s="2" t="s">
        <v>194</v>
      </c>
    </row>
    <row r="19" spans="1:11" s="51" customFormat="1" ht="52.5" customHeight="1" x14ac:dyDescent="0.35">
      <c r="A19" s="86" t="s">
        <v>586</v>
      </c>
      <c r="B19" s="75" t="s">
        <v>624</v>
      </c>
      <c r="C19" s="74" t="s">
        <v>625</v>
      </c>
      <c r="D19" s="74" t="s">
        <v>626</v>
      </c>
      <c r="E19" s="9" t="s">
        <v>483</v>
      </c>
      <c r="F19" s="68"/>
      <c r="G19" s="10"/>
      <c r="H19" s="12">
        <v>305238</v>
      </c>
      <c r="I19" s="8" t="s">
        <v>193</v>
      </c>
      <c r="J19" s="75" t="s">
        <v>680</v>
      </c>
      <c r="K19" s="2" t="s">
        <v>256</v>
      </c>
    </row>
    <row r="20" spans="1:11" s="51" customFormat="1" ht="52.5" customHeight="1" x14ac:dyDescent="0.35">
      <c r="A20" s="86" t="s">
        <v>596</v>
      </c>
      <c r="B20" s="75" t="s">
        <v>655</v>
      </c>
      <c r="C20" s="74" t="s">
        <v>55</v>
      </c>
      <c r="D20" s="74" t="s">
        <v>56</v>
      </c>
      <c r="E20" s="9" t="s">
        <v>57</v>
      </c>
      <c r="F20" s="68"/>
      <c r="G20" s="10"/>
      <c r="H20" s="12">
        <v>5419338.2699999996</v>
      </c>
      <c r="I20" s="8" t="s">
        <v>193</v>
      </c>
      <c r="J20" s="75" t="s">
        <v>681</v>
      </c>
      <c r="K20" s="2" t="s">
        <v>656</v>
      </c>
    </row>
    <row r="21" spans="1:11" s="51" customFormat="1" ht="52.5" customHeight="1" x14ac:dyDescent="0.35">
      <c r="A21" s="86" t="s">
        <v>597</v>
      </c>
      <c r="B21" s="75" t="s">
        <v>652</v>
      </c>
      <c r="C21" s="74" t="s">
        <v>653</v>
      </c>
      <c r="D21" s="74" t="s">
        <v>654</v>
      </c>
      <c r="E21" s="9" t="s">
        <v>530</v>
      </c>
      <c r="F21" s="68"/>
      <c r="G21" s="10"/>
      <c r="H21" s="12">
        <v>198578.88</v>
      </c>
      <c r="I21" s="8" t="s">
        <v>193</v>
      </c>
      <c r="J21" s="75" t="s">
        <v>682</v>
      </c>
      <c r="K21" s="2" t="s">
        <v>256</v>
      </c>
    </row>
    <row r="22" spans="1:11" s="51" customFormat="1" ht="47.25" customHeight="1" x14ac:dyDescent="0.35">
      <c r="A22" s="54" t="s">
        <v>6</v>
      </c>
      <c r="B22" s="4"/>
      <c r="C22" s="4"/>
      <c r="D22" s="4"/>
      <c r="E22" s="5"/>
      <c r="F22" s="19"/>
      <c r="G22" s="5"/>
      <c r="H22" s="76">
        <f>SUM(H13:H21)</f>
        <v>25939799.789999999</v>
      </c>
      <c r="I22" s="11"/>
      <c r="J22" s="11"/>
      <c r="K22" s="19"/>
    </row>
    <row r="23" spans="1:11" s="51" customFormat="1" ht="51" customHeight="1" x14ac:dyDescent="0.35">
      <c r="A23" s="80"/>
      <c r="B23" s="80"/>
      <c r="C23" s="80"/>
      <c r="D23" s="80"/>
      <c r="E23" s="80"/>
      <c r="F23" s="80"/>
      <c r="G23" s="80"/>
      <c r="H23" s="157"/>
      <c r="I23" s="80"/>
      <c r="J23" s="80"/>
      <c r="K23" s="80"/>
    </row>
    <row r="24" spans="1:11" s="51" customFormat="1" ht="33" customHeight="1" x14ac:dyDescent="0.35">
      <c r="A24" s="272"/>
      <c r="B24" s="272"/>
      <c r="C24" s="272"/>
      <c r="D24" s="272"/>
      <c r="E24" s="272"/>
      <c r="F24" s="272"/>
      <c r="G24" s="272"/>
      <c r="H24" s="272"/>
      <c r="I24" s="272"/>
      <c r="J24" s="272"/>
      <c r="K24" s="272"/>
    </row>
    <row r="25" spans="1:11" s="51" customFormat="1" ht="41.25" customHeight="1" x14ac:dyDescent="0.35">
      <c r="A25" s="270" t="s">
        <v>26</v>
      </c>
      <c r="B25" s="270"/>
      <c r="C25" s="270"/>
      <c r="D25" s="270"/>
      <c r="E25" s="270"/>
      <c r="F25" s="270"/>
      <c r="G25" s="270"/>
      <c r="H25" s="270"/>
      <c r="I25" s="270"/>
      <c r="J25" s="270"/>
      <c r="K25" s="270"/>
    </row>
    <row r="26" spans="1:11" s="51" customFormat="1" ht="36" x14ac:dyDescent="0.35">
      <c r="A26" s="151" t="s">
        <v>0</v>
      </c>
      <c r="B26" s="151" t="s">
        <v>1</v>
      </c>
      <c r="C26" s="150" t="s">
        <v>12</v>
      </c>
      <c r="D26" s="150" t="s">
        <v>13</v>
      </c>
      <c r="E26" s="151" t="s">
        <v>2</v>
      </c>
      <c r="F26" s="152" t="s">
        <v>3</v>
      </c>
      <c r="G26" s="151" t="s">
        <v>4</v>
      </c>
      <c r="H26" s="156" t="s">
        <v>7</v>
      </c>
      <c r="I26" s="150" t="s">
        <v>14</v>
      </c>
      <c r="J26" s="150" t="s">
        <v>10</v>
      </c>
      <c r="K26" s="150" t="s">
        <v>9</v>
      </c>
    </row>
    <row r="27" spans="1:11" s="51" customFormat="1" ht="45.75" customHeight="1" x14ac:dyDescent="0.35">
      <c r="A27" s="31"/>
      <c r="B27" s="2"/>
      <c r="C27" s="81"/>
      <c r="D27" s="81"/>
      <c r="E27" s="16"/>
      <c r="F27" s="6"/>
      <c r="G27" s="6"/>
      <c r="H27" s="12">
        <v>0</v>
      </c>
      <c r="I27" s="17"/>
      <c r="J27" s="22"/>
      <c r="K27" s="7"/>
    </row>
    <row r="28" spans="1:11" s="51" customFormat="1" ht="42" customHeight="1" x14ac:dyDescent="0.35">
      <c r="A28" s="31"/>
      <c r="B28" s="2"/>
      <c r="C28" s="81"/>
      <c r="D28" s="81"/>
      <c r="E28" s="16"/>
      <c r="F28" s="6"/>
      <c r="G28" s="6"/>
      <c r="H28" s="157"/>
      <c r="I28" s="17"/>
      <c r="J28" s="22"/>
      <c r="K28" s="7"/>
    </row>
    <row r="29" spans="1:11" s="136" customFormat="1" ht="39" customHeight="1" x14ac:dyDescent="0.35">
      <c r="A29" s="46" t="s">
        <v>6</v>
      </c>
      <c r="B29" s="30"/>
      <c r="C29" s="30"/>
      <c r="D29" s="30"/>
      <c r="E29" s="41"/>
      <c r="F29" s="46"/>
      <c r="G29" s="41"/>
      <c r="H29" s="158">
        <f>SUM(H27:H28)</f>
        <v>0</v>
      </c>
      <c r="I29" s="11"/>
      <c r="J29" s="11"/>
      <c r="K29" s="11"/>
    </row>
    <row r="30" spans="1:11" s="115" customFormat="1" ht="35.25" customHeight="1" x14ac:dyDescent="0.35">
      <c r="A30" s="268"/>
      <c r="B30" s="268"/>
      <c r="C30" s="268"/>
      <c r="D30" s="268"/>
      <c r="E30" s="268"/>
      <c r="F30" s="268"/>
      <c r="G30" s="268"/>
      <c r="H30" s="268"/>
      <c r="I30" s="268"/>
      <c r="J30" s="268"/>
      <c r="K30" s="268"/>
    </row>
    <row r="31" spans="1:11" s="115" customFormat="1" ht="35.25" customHeight="1" x14ac:dyDescent="0.35">
      <c r="A31" s="268" t="s">
        <v>27</v>
      </c>
      <c r="B31" s="268"/>
      <c r="C31" s="268"/>
      <c r="D31" s="268"/>
      <c r="E31" s="268"/>
      <c r="F31" s="268"/>
      <c r="G31" s="268"/>
      <c r="H31" s="268"/>
      <c r="I31" s="268"/>
      <c r="J31" s="268"/>
      <c r="K31" s="268"/>
    </row>
    <row r="32" spans="1:11" s="115" customFormat="1" ht="36" x14ac:dyDescent="0.35">
      <c r="A32" s="151" t="s">
        <v>0</v>
      </c>
      <c r="B32" s="151" t="s">
        <v>1</v>
      </c>
      <c r="C32" s="150" t="s">
        <v>12</v>
      </c>
      <c r="D32" s="150" t="s">
        <v>13</v>
      </c>
      <c r="E32" s="151" t="s">
        <v>2</v>
      </c>
      <c r="F32" s="152" t="s">
        <v>3</v>
      </c>
      <c r="G32" s="151" t="s">
        <v>4</v>
      </c>
      <c r="H32" s="156" t="s">
        <v>7</v>
      </c>
      <c r="I32" s="150" t="s">
        <v>14</v>
      </c>
      <c r="J32" s="150" t="s">
        <v>10</v>
      </c>
      <c r="K32" s="150" t="s">
        <v>9</v>
      </c>
    </row>
    <row r="33" spans="1:11" s="115" customFormat="1" ht="42" customHeight="1" x14ac:dyDescent="0.35">
      <c r="A33" s="48"/>
      <c r="B33" s="48"/>
      <c r="C33" s="190"/>
      <c r="D33" s="190"/>
      <c r="E33" s="48"/>
      <c r="F33" s="49"/>
      <c r="G33" s="48"/>
      <c r="H33" s="12">
        <v>0</v>
      </c>
      <c r="I33" s="190"/>
      <c r="J33" s="190"/>
      <c r="K33" s="190"/>
    </row>
    <row r="34" spans="1:11" s="115" customFormat="1" ht="42" customHeight="1" x14ac:dyDescent="0.35">
      <c r="A34" s="7"/>
      <c r="B34" s="7"/>
      <c r="C34" s="69"/>
      <c r="D34" s="69"/>
      <c r="E34" s="25"/>
      <c r="F34" s="49"/>
      <c r="G34" s="48"/>
      <c r="H34" s="159"/>
      <c r="I34" s="7"/>
      <c r="J34" s="7"/>
      <c r="K34" s="7"/>
    </row>
    <row r="35" spans="1:11" s="115" customFormat="1" ht="33" customHeight="1" x14ac:dyDescent="0.35">
      <c r="A35" s="46" t="s">
        <v>6</v>
      </c>
      <c r="B35" s="11"/>
      <c r="C35" s="11"/>
      <c r="D35" s="11"/>
      <c r="E35" s="5"/>
      <c r="F35" s="19"/>
      <c r="G35" s="5"/>
      <c r="H35" s="156">
        <f>SUM(H33:H34)</f>
        <v>0</v>
      </c>
      <c r="I35" s="11"/>
      <c r="J35" s="11"/>
      <c r="K35" s="11"/>
    </row>
    <row r="36" spans="1:11" s="103" customFormat="1" ht="18" x14ac:dyDescent="0.35">
      <c r="A36" s="47"/>
      <c r="B36" s="40"/>
      <c r="C36" s="40"/>
      <c r="D36" s="40"/>
      <c r="E36" s="50"/>
      <c r="F36" s="51"/>
      <c r="G36" s="50"/>
      <c r="H36" s="160"/>
      <c r="I36" s="40"/>
      <c r="J36" s="40"/>
      <c r="K36" s="40"/>
    </row>
    <row r="37" spans="1:11" s="103" customFormat="1" ht="31.5" customHeight="1" x14ac:dyDescent="0.35">
      <c r="A37" s="268"/>
      <c r="B37" s="268"/>
      <c r="C37" s="268"/>
      <c r="D37" s="268"/>
      <c r="E37" s="268"/>
      <c r="F37" s="268"/>
      <c r="G37" s="268"/>
      <c r="H37" s="268"/>
      <c r="I37" s="268"/>
      <c r="J37" s="268"/>
      <c r="K37" s="268"/>
    </row>
    <row r="38" spans="1:11" s="103" customFormat="1" ht="42.75" customHeight="1" x14ac:dyDescent="0.35">
      <c r="A38" s="262" t="s">
        <v>17</v>
      </c>
      <c r="B38" s="262"/>
      <c r="C38" s="262"/>
      <c r="D38" s="262"/>
      <c r="E38" s="262"/>
      <c r="F38" s="262"/>
      <c r="G38" s="262"/>
      <c r="H38" s="262"/>
      <c r="I38" s="262"/>
      <c r="J38" s="262"/>
      <c r="K38" s="262"/>
    </row>
    <row r="39" spans="1:11" s="103" customFormat="1" ht="36" x14ac:dyDescent="0.35">
      <c r="A39" s="151" t="s">
        <v>0</v>
      </c>
      <c r="B39" s="151" t="s">
        <v>1</v>
      </c>
      <c r="C39" s="150" t="s">
        <v>12</v>
      </c>
      <c r="D39" s="150" t="s">
        <v>13</v>
      </c>
      <c r="E39" s="151" t="s">
        <v>2</v>
      </c>
      <c r="F39" s="152" t="s">
        <v>3</v>
      </c>
      <c r="G39" s="151" t="s">
        <v>4</v>
      </c>
      <c r="H39" s="156" t="s">
        <v>7</v>
      </c>
      <c r="I39" s="150" t="s">
        <v>14</v>
      </c>
      <c r="J39" s="150" t="s">
        <v>10</v>
      </c>
      <c r="K39" s="150" t="s">
        <v>9</v>
      </c>
    </row>
    <row r="40" spans="1:11" s="115" customFormat="1" ht="40.5" customHeight="1" x14ac:dyDescent="0.35">
      <c r="A40" s="31" t="s">
        <v>62</v>
      </c>
      <c r="B40" s="2" t="s">
        <v>671</v>
      </c>
      <c r="C40" s="32" t="s">
        <v>55</v>
      </c>
      <c r="D40" s="33" t="s">
        <v>56</v>
      </c>
      <c r="E40" s="34" t="s">
        <v>57</v>
      </c>
      <c r="F40" s="253"/>
      <c r="G40" s="253"/>
      <c r="H40" s="221">
        <f>9319.23+228.57</f>
        <v>9547.7999999999993</v>
      </c>
      <c r="I40" s="7" t="s">
        <v>63</v>
      </c>
      <c r="J40" s="7" t="s">
        <v>52</v>
      </c>
      <c r="K40" s="2"/>
    </row>
    <row r="41" spans="1:11" s="115" customFormat="1" ht="40.5" customHeight="1" x14ac:dyDescent="0.35">
      <c r="A41" s="31"/>
      <c r="B41" s="2"/>
      <c r="C41" s="32"/>
      <c r="D41" s="33"/>
      <c r="E41" s="34"/>
      <c r="F41" s="183"/>
      <c r="G41" s="183"/>
      <c r="H41" s="21"/>
      <c r="I41" s="7"/>
      <c r="J41" s="7"/>
      <c r="K41" s="2"/>
    </row>
    <row r="42" spans="1:11" s="47" customFormat="1" ht="41.25" customHeight="1" x14ac:dyDescent="0.35">
      <c r="A42" s="54" t="s">
        <v>6</v>
      </c>
      <c r="B42" s="4"/>
      <c r="C42" s="4"/>
      <c r="D42" s="4"/>
      <c r="E42" s="5"/>
      <c r="F42" s="19"/>
      <c r="G42" s="5"/>
      <c r="H42" s="76">
        <f>SUM(H40:H41)</f>
        <v>9547.7999999999993</v>
      </c>
      <c r="I42" s="11"/>
      <c r="J42" s="11"/>
      <c r="K42" s="19"/>
    </row>
    <row r="43" spans="1:11" s="47" customFormat="1" ht="51" customHeight="1" x14ac:dyDescent="0.35">
      <c r="A43" s="269"/>
      <c r="B43" s="269"/>
      <c r="C43" s="269"/>
      <c r="D43" s="269"/>
      <c r="E43" s="269"/>
      <c r="F43" s="269"/>
      <c r="G43" s="269"/>
      <c r="H43" s="269"/>
      <c r="I43" s="269"/>
      <c r="J43" s="269"/>
      <c r="K43" s="269"/>
    </row>
    <row r="44" spans="1:11" s="90" customFormat="1" ht="42.75" customHeight="1" x14ac:dyDescent="0.35">
      <c r="A44" s="264" t="s">
        <v>18</v>
      </c>
      <c r="B44" s="264"/>
      <c r="C44" s="264"/>
      <c r="D44" s="264"/>
      <c r="E44" s="264"/>
      <c r="F44" s="264"/>
      <c r="G44" s="264"/>
      <c r="H44" s="264"/>
      <c r="I44" s="264"/>
      <c r="J44" s="264"/>
      <c r="K44" s="264"/>
    </row>
    <row r="45" spans="1:11" s="51" customFormat="1" ht="55.5" customHeight="1" x14ac:dyDescent="0.35">
      <c r="A45" s="151" t="s">
        <v>0</v>
      </c>
      <c r="B45" s="151" t="s">
        <v>1</v>
      </c>
      <c r="C45" s="150" t="s">
        <v>12</v>
      </c>
      <c r="D45" s="150" t="s">
        <v>13</v>
      </c>
      <c r="E45" s="151" t="s">
        <v>2</v>
      </c>
      <c r="F45" s="152" t="s">
        <v>3</v>
      </c>
      <c r="G45" s="151" t="s">
        <v>4</v>
      </c>
      <c r="H45" s="156" t="s">
        <v>7</v>
      </c>
      <c r="I45" s="150" t="s">
        <v>14</v>
      </c>
      <c r="J45" s="150" t="s">
        <v>10</v>
      </c>
      <c r="K45" s="150" t="s">
        <v>9</v>
      </c>
    </row>
    <row r="46" spans="1:11" s="51" customFormat="1" ht="57" customHeight="1" x14ac:dyDescent="0.35">
      <c r="A46" s="86" t="s">
        <v>106</v>
      </c>
      <c r="B46" s="8" t="s">
        <v>199</v>
      </c>
      <c r="C46" s="69" t="s">
        <v>55</v>
      </c>
      <c r="D46" s="69" t="s">
        <v>56</v>
      </c>
      <c r="E46" s="9" t="s">
        <v>57</v>
      </c>
      <c r="F46" s="6"/>
      <c r="G46" s="6"/>
      <c r="H46" s="21">
        <v>102901.19</v>
      </c>
      <c r="I46" s="8" t="s">
        <v>105</v>
      </c>
      <c r="J46" s="86" t="s">
        <v>200</v>
      </c>
      <c r="K46" s="2"/>
    </row>
    <row r="47" spans="1:11" s="51" customFormat="1" ht="57" customHeight="1" x14ac:dyDescent="0.35">
      <c r="A47" s="86" t="s">
        <v>107</v>
      </c>
      <c r="B47" s="8" t="s">
        <v>177</v>
      </c>
      <c r="C47" s="69" t="s">
        <v>50</v>
      </c>
      <c r="D47" s="69"/>
      <c r="E47" s="9"/>
      <c r="F47" s="6"/>
      <c r="G47" s="6"/>
      <c r="H47" s="21">
        <f>798*2+200+360.1+1600</f>
        <v>3756.1</v>
      </c>
      <c r="I47" s="8" t="s">
        <v>178</v>
      </c>
      <c r="J47" s="86" t="s">
        <v>179</v>
      </c>
      <c r="K47" s="2" t="s">
        <v>180</v>
      </c>
    </row>
    <row r="48" spans="1:11" s="51" customFormat="1" ht="57" customHeight="1" x14ac:dyDescent="0.35">
      <c r="A48" s="86" t="s">
        <v>53</v>
      </c>
      <c r="B48" s="8" t="s">
        <v>160</v>
      </c>
      <c r="C48" s="69" t="s">
        <v>55</v>
      </c>
      <c r="D48" s="69" t="s">
        <v>56</v>
      </c>
      <c r="E48" s="9" t="s">
        <v>57</v>
      </c>
      <c r="F48" s="6"/>
      <c r="G48" s="6"/>
      <c r="H48" s="21">
        <f>1198604.85+1650-1198604.85</f>
        <v>1650</v>
      </c>
      <c r="I48" s="8" t="s">
        <v>105</v>
      </c>
      <c r="J48" s="86" t="s">
        <v>161</v>
      </c>
      <c r="K48" s="2"/>
    </row>
    <row r="49" spans="1:11" s="51" customFormat="1" ht="57" customHeight="1" x14ac:dyDescent="0.35">
      <c r="A49" s="86" t="s">
        <v>172</v>
      </c>
      <c r="B49" s="8" t="s">
        <v>173</v>
      </c>
      <c r="C49" s="69" t="s">
        <v>50</v>
      </c>
      <c r="D49" s="69"/>
      <c r="E49" s="9"/>
      <c r="F49" s="6"/>
      <c r="G49" s="6"/>
      <c r="H49" s="21">
        <v>2000</v>
      </c>
      <c r="I49" s="8" t="s">
        <v>174</v>
      </c>
      <c r="J49" s="86" t="s">
        <v>175</v>
      </c>
      <c r="K49" s="2" t="s">
        <v>176</v>
      </c>
    </row>
    <row r="50" spans="1:11" s="51" customFormat="1" ht="39.75" customHeight="1" x14ac:dyDescent="0.35">
      <c r="A50" s="24" t="s">
        <v>223</v>
      </c>
      <c r="B50" s="24" t="s">
        <v>163</v>
      </c>
      <c r="C50" s="69" t="s">
        <v>50</v>
      </c>
      <c r="D50" s="69"/>
      <c r="E50" s="7"/>
      <c r="F50" s="6"/>
      <c r="G50" s="6"/>
      <c r="H50" s="21">
        <f>1499.1+2152.9+2443+1938+550</f>
        <v>8583</v>
      </c>
      <c r="I50" s="7" t="s">
        <v>163</v>
      </c>
      <c r="J50" s="7" t="s">
        <v>224</v>
      </c>
      <c r="K50" s="2" t="s">
        <v>225</v>
      </c>
    </row>
    <row r="51" spans="1:11" s="51" customFormat="1" ht="39.75" customHeight="1" x14ac:dyDescent="0.35">
      <c r="A51" s="24" t="s">
        <v>226</v>
      </c>
      <c r="B51" s="24" t="s">
        <v>253</v>
      </c>
      <c r="C51" s="69" t="s">
        <v>50</v>
      </c>
      <c r="D51" s="69"/>
      <c r="E51" s="7"/>
      <c r="F51" s="253"/>
      <c r="G51" s="253"/>
      <c r="H51" s="21">
        <v>9727.6200000000008</v>
      </c>
      <c r="I51" s="7" t="s">
        <v>254</v>
      </c>
      <c r="J51" s="7" t="s">
        <v>255</v>
      </c>
      <c r="K51" s="2" t="s">
        <v>256</v>
      </c>
    </row>
    <row r="52" spans="1:11" s="51" customFormat="1" ht="39.75" customHeight="1" x14ac:dyDescent="0.35">
      <c r="A52" s="24" t="s">
        <v>227</v>
      </c>
      <c r="B52" s="24" t="s">
        <v>178</v>
      </c>
      <c r="C52" s="69" t="s">
        <v>50</v>
      </c>
      <c r="D52" s="69"/>
      <c r="E52" s="7"/>
      <c r="F52" s="253"/>
      <c r="G52" s="253"/>
      <c r="H52" s="21">
        <v>1920</v>
      </c>
      <c r="I52" s="7" t="s">
        <v>178</v>
      </c>
      <c r="J52" s="7" t="s">
        <v>683</v>
      </c>
      <c r="K52" s="2" t="s">
        <v>194</v>
      </c>
    </row>
    <row r="53" spans="1:11" s="51" customFormat="1" ht="39.75" customHeight="1" x14ac:dyDescent="0.35">
      <c r="A53" s="86" t="s">
        <v>53</v>
      </c>
      <c r="B53" s="24" t="s">
        <v>54</v>
      </c>
      <c r="C53" s="69" t="s">
        <v>55</v>
      </c>
      <c r="D53" s="69" t="s">
        <v>56</v>
      </c>
      <c r="E53" s="7" t="s">
        <v>57</v>
      </c>
      <c r="F53" s="253"/>
      <c r="G53" s="253"/>
      <c r="H53" s="21">
        <f>439989.08-719.5+1048.6+26000+28602.6+2904.86+3095.14+6424.8+1606.2</f>
        <v>508951.77999999997</v>
      </c>
      <c r="I53" s="7" t="s">
        <v>54</v>
      </c>
      <c r="J53" s="8" t="s">
        <v>54</v>
      </c>
      <c r="K53" s="2"/>
    </row>
    <row r="54" spans="1:11" s="51" customFormat="1" ht="39.75" customHeight="1" x14ac:dyDescent="0.35">
      <c r="A54" s="24" t="s">
        <v>277</v>
      </c>
      <c r="B54" s="24" t="s">
        <v>177</v>
      </c>
      <c r="C54" s="69" t="s">
        <v>50</v>
      </c>
      <c r="D54" s="69"/>
      <c r="E54" s="7"/>
      <c r="F54" s="253"/>
      <c r="G54" s="253"/>
      <c r="H54" s="21">
        <f>3500+1200</f>
        <v>4700</v>
      </c>
      <c r="I54" s="7" t="s">
        <v>178</v>
      </c>
      <c r="J54" s="86" t="s">
        <v>179</v>
      </c>
      <c r="K54" s="2" t="s">
        <v>256</v>
      </c>
    </row>
    <row r="55" spans="1:11" s="51" customFormat="1" ht="39.75" customHeight="1" x14ac:dyDescent="0.35">
      <c r="A55" s="24" t="s">
        <v>278</v>
      </c>
      <c r="B55" s="24" t="s">
        <v>177</v>
      </c>
      <c r="C55" s="69" t="s">
        <v>50</v>
      </c>
      <c r="D55" s="69"/>
      <c r="E55" s="7"/>
      <c r="F55" s="253"/>
      <c r="G55" s="253"/>
      <c r="H55" s="21">
        <v>3895</v>
      </c>
      <c r="I55" s="7" t="s">
        <v>178</v>
      </c>
      <c r="J55" s="86" t="s">
        <v>179</v>
      </c>
      <c r="K55" s="2" t="s">
        <v>194</v>
      </c>
    </row>
    <row r="56" spans="1:11" s="51" customFormat="1" ht="39.75" customHeight="1" x14ac:dyDescent="0.35">
      <c r="A56" s="24" t="s">
        <v>566</v>
      </c>
      <c r="B56" s="24" t="s">
        <v>568</v>
      </c>
      <c r="C56" s="69" t="s">
        <v>50</v>
      </c>
      <c r="D56" s="69"/>
      <c r="E56" s="7"/>
      <c r="F56" s="253"/>
      <c r="G56" s="253"/>
      <c r="H56" s="21">
        <v>30254.18</v>
      </c>
      <c r="I56" s="7" t="s">
        <v>105</v>
      </c>
      <c r="J56" s="24" t="s">
        <v>568</v>
      </c>
      <c r="K56" s="2" t="s">
        <v>569</v>
      </c>
    </row>
    <row r="57" spans="1:11" s="47" customFormat="1" ht="41.25" customHeight="1" x14ac:dyDescent="0.35">
      <c r="A57" s="54" t="s">
        <v>6</v>
      </c>
      <c r="B57" s="4"/>
      <c r="C57" s="4"/>
      <c r="D57" s="4"/>
      <c r="E57" s="5"/>
      <c r="F57" s="19"/>
      <c r="G57" s="5"/>
      <c r="H57" s="76">
        <f>SUM(H46:H56)</f>
        <v>678338.87</v>
      </c>
      <c r="I57" s="11"/>
      <c r="J57" s="11"/>
      <c r="K57" s="19"/>
    </row>
    <row r="58" spans="1:11" s="47" customFormat="1" ht="41.25" customHeight="1" x14ac:dyDescent="0.35">
      <c r="A58" s="288"/>
      <c r="B58" s="288"/>
      <c r="C58" s="288"/>
      <c r="D58" s="288"/>
      <c r="E58" s="288"/>
      <c r="F58" s="288"/>
      <c r="G58" s="288"/>
      <c r="H58" s="288"/>
      <c r="I58" s="288"/>
      <c r="J58" s="288"/>
      <c r="K58" s="288"/>
    </row>
    <row r="59" spans="1:11" s="47" customFormat="1" ht="41.25" customHeight="1" x14ac:dyDescent="0.35">
      <c r="A59" s="264" t="s">
        <v>19</v>
      </c>
      <c r="B59" s="264"/>
      <c r="C59" s="264"/>
      <c r="D59" s="264"/>
      <c r="E59" s="264"/>
      <c r="F59" s="264"/>
      <c r="G59" s="264"/>
      <c r="H59" s="264"/>
      <c r="I59" s="264"/>
      <c r="J59" s="264"/>
      <c r="K59" s="264"/>
    </row>
    <row r="60" spans="1:11" s="47" customFormat="1" ht="41.25" customHeight="1" x14ac:dyDescent="0.35">
      <c r="A60" s="151" t="s">
        <v>0</v>
      </c>
      <c r="B60" s="151" t="s">
        <v>1</v>
      </c>
      <c r="C60" s="150" t="s">
        <v>12</v>
      </c>
      <c r="D60" s="150" t="s">
        <v>13</v>
      </c>
      <c r="E60" s="151" t="s">
        <v>2</v>
      </c>
      <c r="F60" s="152" t="s">
        <v>3</v>
      </c>
      <c r="G60" s="151" t="s">
        <v>4</v>
      </c>
      <c r="H60" s="156" t="s">
        <v>7</v>
      </c>
      <c r="I60" s="150" t="s">
        <v>14</v>
      </c>
      <c r="J60" s="150" t="s">
        <v>10</v>
      </c>
      <c r="K60" s="150" t="s">
        <v>9</v>
      </c>
    </row>
    <row r="61" spans="1:11" s="51" customFormat="1" ht="47.25" customHeight="1" x14ac:dyDescent="0.35">
      <c r="A61" s="86"/>
      <c r="B61" s="75"/>
      <c r="C61" s="74"/>
      <c r="D61" s="74"/>
      <c r="E61" s="9"/>
      <c r="F61" s="10"/>
      <c r="G61" s="10"/>
      <c r="H61" s="161"/>
      <c r="I61" s="8"/>
      <c r="J61" s="75"/>
      <c r="K61" s="2"/>
    </row>
    <row r="62" spans="1:11" s="51" customFormat="1" ht="39.75" customHeight="1" x14ac:dyDescent="0.35">
      <c r="A62" s="56"/>
      <c r="B62" s="57"/>
      <c r="C62" s="57"/>
      <c r="D62" s="57"/>
      <c r="E62" s="41"/>
      <c r="F62" s="46"/>
      <c r="G62" s="41"/>
      <c r="H62" s="162"/>
      <c r="I62" s="11"/>
      <c r="J62" s="11"/>
      <c r="K62" s="19"/>
    </row>
    <row r="63" spans="1:11" s="51" customFormat="1" ht="39.75" customHeight="1" x14ac:dyDescent="0.35">
      <c r="A63" s="54" t="s">
        <v>6</v>
      </c>
      <c r="B63" s="57"/>
      <c r="C63" s="57"/>
      <c r="D63" s="57"/>
      <c r="E63" s="41"/>
      <c r="F63" s="46"/>
      <c r="G63" s="41"/>
      <c r="H63" s="162">
        <f>SUM(H61:H62)</f>
        <v>0</v>
      </c>
      <c r="I63" s="11"/>
      <c r="J63" s="11"/>
      <c r="K63" s="19"/>
    </row>
    <row r="64" spans="1:11" s="51" customFormat="1" ht="39.75" customHeight="1" x14ac:dyDescent="0.35">
      <c r="A64" s="289"/>
      <c r="B64" s="289"/>
      <c r="C64" s="289"/>
      <c r="D64" s="289"/>
      <c r="E64" s="289"/>
      <c r="F64" s="289"/>
      <c r="G64" s="289"/>
      <c r="H64" s="289"/>
      <c r="I64" s="289"/>
      <c r="J64" s="289"/>
      <c r="K64" s="289"/>
    </row>
    <row r="65" spans="1:11" s="115" customFormat="1" ht="42.75" customHeight="1" x14ac:dyDescent="0.35">
      <c r="A65" s="56" t="s">
        <v>8</v>
      </c>
      <c r="B65" s="15"/>
      <c r="C65" s="192"/>
      <c r="D65" s="192"/>
      <c r="E65" s="16"/>
      <c r="F65" s="6"/>
      <c r="G65" s="6"/>
      <c r="H65" s="193">
        <f>+H63+H57+H42+H35+H29+H22</f>
        <v>26627686.460000001</v>
      </c>
      <c r="I65" s="17"/>
      <c r="J65" s="7"/>
      <c r="K65" s="7"/>
    </row>
    <row r="66" spans="1:11" s="51" customFormat="1" ht="29.15" customHeight="1" x14ac:dyDescent="0.35">
      <c r="A66" s="266"/>
      <c r="B66" s="267"/>
      <c r="C66" s="267"/>
      <c r="D66" s="267"/>
      <c r="E66" s="267"/>
      <c r="F66" s="267"/>
      <c r="G66" s="267"/>
      <c r="H66" s="267"/>
      <c r="I66" s="61"/>
      <c r="J66" s="61"/>
      <c r="K66" s="29"/>
    </row>
    <row r="67" spans="1:11" s="51" customFormat="1" ht="49.5" customHeight="1" x14ac:dyDescent="0.35">
      <c r="A67" s="116"/>
      <c r="B67" s="114"/>
      <c r="C67" s="114"/>
      <c r="D67" s="114"/>
      <c r="E67" s="50"/>
      <c r="G67" s="50"/>
      <c r="H67" s="164"/>
      <c r="I67" s="40"/>
      <c r="J67" s="40"/>
    </row>
    <row r="68" spans="1:11" s="51" customFormat="1" ht="49.5" customHeight="1" x14ac:dyDescent="0.35">
      <c r="A68" s="116"/>
      <c r="B68" s="114"/>
      <c r="C68" s="114"/>
      <c r="D68" s="114"/>
      <c r="E68" s="50"/>
      <c r="G68" s="50"/>
      <c r="H68" s="165"/>
      <c r="I68" s="40"/>
      <c r="J68" s="40"/>
    </row>
    <row r="69" spans="1:11" s="51" customFormat="1" ht="49.5" customHeight="1" x14ac:dyDescent="0.35">
      <c r="A69" s="269"/>
      <c r="B69" s="269"/>
      <c r="C69" s="269"/>
      <c r="D69" s="269"/>
      <c r="E69" s="269"/>
      <c r="F69" s="269"/>
      <c r="G69" s="269"/>
      <c r="H69" s="269"/>
      <c r="I69" s="269"/>
      <c r="J69" s="269"/>
      <c r="K69" s="269"/>
    </row>
    <row r="70" spans="1:11" s="51" customFormat="1" ht="18" x14ac:dyDescent="0.35">
      <c r="A70" s="268"/>
      <c r="B70" s="268"/>
      <c r="C70" s="268"/>
      <c r="D70" s="268"/>
      <c r="E70" s="268"/>
      <c r="F70" s="268"/>
      <c r="G70" s="268"/>
      <c r="H70" s="268"/>
      <c r="I70" s="268"/>
      <c r="J70" s="268"/>
      <c r="K70" s="268"/>
    </row>
    <row r="71" spans="1:11" s="51" customFormat="1" ht="29.15" customHeight="1" x14ac:dyDescent="0.35">
      <c r="A71" s="93"/>
      <c r="B71" s="93"/>
      <c r="C71" s="94"/>
      <c r="D71" s="94"/>
      <c r="E71" s="93"/>
      <c r="F71" s="90"/>
      <c r="G71" s="112"/>
      <c r="H71" s="166"/>
      <c r="I71" s="94"/>
      <c r="J71" s="94"/>
      <c r="K71" s="94"/>
    </row>
    <row r="72" spans="1:11" s="51" customFormat="1" ht="29.15" customHeight="1" x14ac:dyDescent="0.35">
      <c r="A72" s="40"/>
      <c r="B72" s="107"/>
      <c r="C72" s="129"/>
      <c r="D72" s="129"/>
      <c r="E72" s="103"/>
      <c r="F72" s="90"/>
      <c r="G72" s="112"/>
      <c r="H72" s="167"/>
      <c r="I72" s="111"/>
      <c r="J72" s="110"/>
      <c r="K72" s="101"/>
    </row>
    <row r="73" spans="1:11" s="51" customFormat="1" ht="47.25" customHeight="1" x14ac:dyDescent="0.35">
      <c r="A73" s="40"/>
      <c r="B73" s="107"/>
      <c r="C73" s="129"/>
      <c r="D73" s="129"/>
      <c r="E73" s="103"/>
      <c r="F73" s="90"/>
      <c r="G73" s="112"/>
      <c r="H73" s="167"/>
      <c r="I73" s="111"/>
      <c r="J73" s="110"/>
      <c r="K73" s="101"/>
    </row>
    <row r="74" spans="1:11" s="97" customFormat="1" x14ac:dyDescent="0.35">
      <c r="A74" s="114"/>
      <c r="B74" s="114"/>
      <c r="C74" s="114"/>
      <c r="D74" s="114"/>
      <c r="E74" s="50"/>
      <c r="F74" s="106"/>
      <c r="G74" s="106"/>
      <c r="H74" s="160"/>
      <c r="I74" s="114"/>
      <c r="J74" s="40"/>
      <c r="K74" s="51"/>
    </row>
    <row r="75" spans="1:11" s="97" customFormat="1" ht="18" x14ac:dyDescent="0.35">
      <c r="A75" s="116"/>
      <c r="B75" s="114"/>
      <c r="C75" s="114"/>
      <c r="D75" s="114"/>
      <c r="E75" s="50"/>
      <c r="F75" s="51"/>
      <c r="G75" s="50"/>
      <c r="H75" s="164"/>
      <c r="I75" s="40"/>
      <c r="J75" s="40"/>
      <c r="K75" s="51"/>
    </row>
    <row r="76" spans="1:11" x14ac:dyDescent="0.35">
      <c r="A76" s="122"/>
      <c r="B76" s="114"/>
      <c r="C76" s="114"/>
      <c r="D76" s="114"/>
      <c r="E76" s="50"/>
      <c r="F76" s="51"/>
      <c r="G76" s="50"/>
      <c r="H76" s="168"/>
      <c r="I76" s="40"/>
      <c r="J76" s="40"/>
      <c r="K76" s="51"/>
    </row>
    <row r="77" spans="1:11" ht="18" x14ac:dyDescent="0.35">
      <c r="A77" s="117"/>
      <c r="B77" s="118"/>
      <c r="C77" s="118"/>
      <c r="D77" s="118"/>
      <c r="E77" s="93"/>
      <c r="F77" s="47"/>
      <c r="G77" s="93"/>
      <c r="H77" s="169"/>
      <c r="I77" s="40"/>
      <c r="J77" s="40"/>
      <c r="K77" s="51"/>
    </row>
    <row r="78" spans="1:11" ht="18" x14ac:dyDescent="0.35">
      <c r="A78" s="97"/>
      <c r="B78" s="119"/>
      <c r="C78" s="120"/>
      <c r="D78" s="120"/>
      <c r="E78" s="96"/>
      <c r="F78" s="97"/>
      <c r="G78" s="96"/>
      <c r="H78" s="170"/>
      <c r="I78" s="95"/>
      <c r="J78" s="95"/>
      <c r="K78" s="97"/>
    </row>
    <row r="79" spans="1:11" ht="18" x14ac:dyDescent="0.35">
      <c r="A79" s="284"/>
      <c r="B79" s="284"/>
      <c r="C79" s="284"/>
      <c r="D79" s="284"/>
      <c r="E79" s="284"/>
      <c r="F79" s="284"/>
      <c r="G79" s="284"/>
      <c r="H79" s="284"/>
      <c r="I79" s="95"/>
      <c r="J79" s="95"/>
      <c r="K79" s="97"/>
    </row>
    <row r="82" spans="5:9" x14ac:dyDescent="0.35">
      <c r="E82" s="62"/>
    </row>
    <row r="84" spans="5:9" x14ac:dyDescent="0.35">
      <c r="E84" s="62"/>
      <c r="G84" s="63"/>
      <c r="I84" s="64"/>
    </row>
  </sheetData>
  <mergeCells count="20">
    <mergeCell ref="A58:K58"/>
    <mergeCell ref="A64:K64"/>
    <mergeCell ref="A69:K69"/>
    <mergeCell ref="A70:K70"/>
    <mergeCell ref="A79:H79"/>
    <mergeCell ref="A66:H66"/>
    <mergeCell ref="A59:K59"/>
    <mergeCell ref="A1:H1"/>
    <mergeCell ref="A8:K8"/>
    <mergeCell ref="A9:K9"/>
    <mergeCell ref="A44:K44"/>
    <mergeCell ref="A11:K11"/>
    <mergeCell ref="A25:K25"/>
    <mergeCell ref="A43:K43"/>
    <mergeCell ref="A24:K24"/>
    <mergeCell ref="A10:K10"/>
    <mergeCell ref="A30:K30"/>
    <mergeCell ref="A31:K31"/>
    <mergeCell ref="A37:K37"/>
    <mergeCell ref="A38:K38"/>
  </mergeCells>
  <pageMargins left="0.7" right="0.7" top="0.75" bottom="0.75" header="0.3" footer="0.3"/>
  <pageSetup paperSize="8" scale="51" orientation="landscape" r:id="rId1"/>
  <rowBreaks count="1" manualBreakCount="1">
    <brk id="29"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view="pageBreakPreview" topLeftCell="A8" zoomScale="60" zoomScaleNormal="70" workbookViewId="0">
      <selection activeCell="A8" sqref="A8:K8"/>
    </sheetView>
  </sheetViews>
  <sheetFormatPr defaultColWidth="9.1796875" defaultRowHeight="17.5" x14ac:dyDescent="0.35"/>
  <cols>
    <col min="1" max="1" width="40" style="29" customWidth="1"/>
    <col min="2" max="2" width="69.1796875" style="61" customWidth="1"/>
    <col min="3" max="3" width="20" style="61" customWidth="1"/>
    <col min="4" max="4" width="15.7265625" style="61" bestFit="1" customWidth="1"/>
    <col min="5" max="5" width="16.81640625" style="60" customWidth="1"/>
    <col min="6" max="6" width="13.1796875" style="29" customWidth="1"/>
    <col min="7" max="7" width="12.81640625" style="60" customWidth="1"/>
    <col min="8" max="8" width="23.26953125" style="163" bestFit="1" customWidth="1"/>
    <col min="9" max="9" width="39.7265625" style="61" customWidth="1"/>
    <col min="10" max="10" width="76.1796875" style="61" customWidth="1"/>
    <col min="11" max="11" width="21.1796875" style="29" customWidth="1"/>
    <col min="12" max="16384" width="9.1796875" style="29"/>
  </cols>
  <sheetData>
    <row r="1" spans="1:11" s="27" customFormat="1" ht="18" x14ac:dyDescent="0.35">
      <c r="A1" s="262"/>
      <c r="B1" s="262"/>
      <c r="C1" s="262"/>
      <c r="D1" s="262"/>
      <c r="E1" s="262"/>
      <c r="F1" s="262"/>
      <c r="G1" s="262"/>
      <c r="H1" s="262"/>
      <c r="I1" s="26"/>
      <c r="J1" s="26"/>
    </row>
    <row r="2" spans="1:11" s="27" customFormat="1" ht="18" x14ac:dyDescent="0.35">
      <c r="A2" s="187"/>
      <c r="B2" s="187"/>
      <c r="C2" s="187"/>
      <c r="D2" s="187"/>
      <c r="E2" s="187"/>
      <c r="F2" s="187"/>
      <c r="G2" s="187"/>
      <c r="H2" s="154"/>
      <c r="I2" s="26"/>
      <c r="J2" s="26"/>
    </row>
    <row r="3" spans="1:11" s="27" customFormat="1" ht="18" x14ac:dyDescent="0.35">
      <c r="A3" s="187"/>
      <c r="B3" s="187"/>
      <c r="C3" s="187"/>
      <c r="D3" s="187"/>
      <c r="E3" s="187"/>
      <c r="F3" s="187"/>
      <c r="G3" s="187"/>
      <c r="H3" s="154"/>
      <c r="I3" s="26"/>
      <c r="J3" s="26"/>
    </row>
    <row r="4" spans="1:11" s="27" customFormat="1" ht="18" x14ac:dyDescent="0.35">
      <c r="A4" s="187"/>
      <c r="B4" s="187"/>
      <c r="C4" s="187"/>
      <c r="D4" s="187"/>
      <c r="E4" s="187"/>
      <c r="F4" s="187"/>
      <c r="G4" s="187"/>
      <c r="H4" s="154"/>
      <c r="I4" s="26"/>
      <c r="J4" s="26"/>
    </row>
    <row r="5" spans="1:11" s="27" customFormat="1" ht="18" x14ac:dyDescent="0.35">
      <c r="A5" s="187"/>
      <c r="B5" s="187"/>
      <c r="C5" s="187"/>
      <c r="D5" s="187"/>
      <c r="E5" s="187"/>
      <c r="F5" s="187"/>
      <c r="G5" s="187"/>
      <c r="H5" s="154"/>
      <c r="I5" s="26"/>
      <c r="J5" s="26"/>
    </row>
    <row r="6" spans="1:11" s="27" customFormat="1" ht="18" x14ac:dyDescent="0.35">
      <c r="A6" s="187"/>
      <c r="B6" s="187"/>
      <c r="C6" s="187"/>
      <c r="D6" s="187"/>
      <c r="E6" s="187"/>
      <c r="F6" s="187"/>
      <c r="G6" s="187"/>
      <c r="H6" s="154"/>
      <c r="I6" s="26"/>
      <c r="J6" s="26"/>
    </row>
    <row r="7" spans="1:11" s="27" customFormat="1" ht="18" x14ac:dyDescent="0.35">
      <c r="A7" s="187"/>
      <c r="B7" s="187"/>
      <c r="C7" s="187"/>
      <c r="D7" s="187"/>
      <c r="E7" s="187"/>
      <c r="F7" s="187"/>
      <c r="G7" s="187"/>
      <c r="H7" s="154"/>
      <c r="I7" s="26"/>
      <c r="J7" s="26"/>
    </row>
    <row r="8" spans="1:11" s="27" customFormat="1" ht="38.25" customHeight="1" x14ac:dyDescent="0.35">
      <c r="A8" s="262"/>
      <c r="B8" s="262"/>
      <c r="C8" s="262"/>
      <c r="D8" s="262"/>
      <c r="E8" s="262"/>
      <c r="F8" s="262"/>
      <c r="G8" s="262"/>
      <c r="H8" s="262"/>
      <c r="I8" s="262"/>
      <c r="J8" s="262"/>
      <c r="K8" s="262"/>
    </row>
    <row r="9" spans="1:11" ht="41.25" customHeight="1" x14ac:dyDescent="0.35">
      <c r="A9" s="263" t="s">
        <v>665</v>
      </c>
      <c r="B9" s="263"/>
      <c r="C9" s="263"/>
      <c r="D9" s="263"/>
      <c r="E9" s="263"/>
      <c r="F9" s="263"/>
      <c r="G9" s="263"/>
      <c r="H9" s="263"/>
      <c r="I9" s="263"/>
      <c r="J9" s="263"/>
      <c r="K9" s="263"/>
    </row>
    <row r="10" spans="1:11" ht="29.15" customHeight="1" x14ac:dyDescent="0.35">
      <c r="A10" s="264"/>
      <c r="B10" s="264"/>
      <c r="C10" s="264"/>
      <c r="D10" s="264"/>
      <c r="E10" s="264"/>
      <c r="F10" s="264"/>
      <c r="G10" s="264"/>
      <c r="H10" s="264"/>
      <c r="I10" s="264"/>
      <c r="J10" s="264"/>
      <c r="K10" s="264"/>
    </row>
    <row r="11" spans="1:11" ht="36.75" customHeight="1" x14ac:dyDescent="0.35">
      <c r="A11" s="264" t="s">
        <v>16</v>
      </c>
      <c r="B11" s="264"/>
      <c r="C11" s="264"/>
      <c r="D11" s="264"/>
      <c r="E11" s="264"/>
      <c r="F11" s="264"/>
      <c r="G11" s="264"/>
      <c r="H11" s="264"/>
      <c r="I11" s="264"/>
      <c r="J11" s="264"/>
      <c r="K11" s="264"/>
    </row>
    <row r="12" spans="1:11" s="97" customFormat="1" ht="60.75" customHeight="1" x14ac:dyDescent="0.35">
      <c r="A12" s="146" t="s">
        <v>0</v>
      </c>
      <c r="B12" s="146" t="s">
        <v>1</v>
      </c>
      <c r="C12" s="147" t="s">
        <v>12</v>
      </c>
      <c r="D12" s="147" t="s">
        <v>13</v>
      </c>
      <c r="E12" s="146" t="s">
        <v>2</v>
      </c>
      <c r="F12" s="148" t="s">
        <v>3</v>
      </c>
      <c r="G12" s="146" t="s">
        <v>4</v>
      </c>
      <c r="H12" s="155" t="s">
        <v>5</v>
      </c>
      <c r="I12" s="150" t="s">
        <v>14</v>
      </c>
      <c r="J12" s="150" t="s">
        <v>10</v>
      </c>
      <c r="K12" s="150" t="s">
        <v>9</v>
      </c>
    </row>
    <row r="13" spans="1:11" s="51" customFormat="1" ht="51.75" customHeight="1" x14ac:dyDescent="0.35">
      <c r="A13" s="24" t="s">
        <v>60</v>
      </c>
      <c r="B13" s="24" t="s">
        <v>79</v>
      </c>
      <c r="C13" s="69" t="s">
        <v>55</v>
      </c>
      <c r="D13" s="69" t="s">
        <v>56</v>
      </c>
      <c r="E13" s="7" t="s">
        <v>57</v>
      </c>
      <c r="F13" s="6"/>
      <c r="G13" s="6"/>
      <c r="H13" s="204">
        <v>58611.38</v>
      </c>
      <c r="I13" s="7" t="s">
        <v>83</v>
      </c>
      <c r="J13" s="7" t="s">
        <v>84</v>
      </c>
      <c r="K13" s="7" t="s">
        <v>85</v>
      </c>
    </row>
    <row r="14" spans="1:11" s="51" customFormat="1" ht="42.75" customHeight="1" x14ac:dyDescent="0.35">
      <c r="A14" s="24" t="s">
        <v>61</v>
      </c>
      <c r="B14" s="24" t="s">
        <v>80</v>
      </c>
      <c r="C14" s="69" t="s">
        <v>55</v>
      </c>
      <c r="D14" s="69" t="s">
        <v>81</v>
      </c>
      <c r="E14" s="7" t="s">
        <v>82</v>
      </c>
      <c r="F14" s="205"/>
      <c r="G14" s="205"/>
      <c r="H14" s="71">
        <f>3212428.8+434112+607756.8+434112</f>
        <v>4688409.5999999996</v>
      </c>
      <c r="I14" s="7" t="s">
        <v>86</v>
      </c>
      <c r="J14" s="7" t="s">
        <v>670</v>
      </c>
      <c r="K14" s="7" t="s">
        <v>87</v>
      </c>
    </row>
    <row r="15" spans="1:11" s="51" customFormat="1" ht="42.75" customHeight="1" x14ac:dyDescent="0.35">
      <c r="A15" s="24" t="s">
        <v>152</v>
      </c>
      <c r="B15" s="24" t="s">
        <v>197</v>
      </c>
      <c r="C15" s="69" t="s">
        <v>55</v>
      </c>
      <c r="D15" s="69" t="s">
        <v>56</v>
      </c>
      <c r="E15" s="7" t="s">
        <v>57</v>
      </c>
      <c r="F15" s="205"/>
      <c r="G15" s="205"/>
      <c r="H15" s="71">
        <v>641572</v>
      </c>
      <c r="I15" s="7" t="s">
        <v>193</v>
      </c>
      <c r="J15" s="7" t="s">
        <v>198</v>
      </c>
      <c r="K15" s="7" t="s">
        <v>85</v>
      </c>
    </row>
    <row r="16" spans="1:11" s="51" customFormat="1" ht="42.75" customHeight="1" x14ac:dyDescent="0.35">
      <c r="A16" s="24" t="s">
        <v>266</v>
      </c>
      <c r="B16" s="24" t="s">
        <v>79</v>
      </c>
      <c r="C16" s="69" t="s">
        <v>55</v>
      </c>
      <c r="D16" s="69" t="s">
        <v>56</v>
      </c>
      <c r="E16" s="7" t="s">
        <v>57</v>
      </c>
      <c r="F16" s="205"/>
      <c r="G16" s="205"/>
      <c r="H16" s="71">
        <f>144497.94+555308.01+490300.99+190886.72</f>
        <v>1380993.66</v>
      </c>
      <c r="I16" s="7" t="s">
        <v>83</v>
      </c>
      <c r="J16" s="7" t="s">
        <v>84</v>
      </c>
      <c r="K16" s="7" t="s">
        <v>85</v>
      </c>
    </row>
    <row r="17" spans="1:11" s="51" customFormat="1" ht="42.75" customHeight="1" x14ac:dyDescent="0.35">
      <c r="A17" s="24" t="s">
        <v>267</v>
      </c>
      <c r="B17" s="24" t="s">
        <v>288</v>
      </c>
      <c r="C17" s="69" t="s">
        <v>55</v>
      </c>
      <c r="D17" s="69" t="s">
        <v>289</v>
      </c>
      <c r="E17" s="7" t="s">
        <v>290</v>
      </c>
      <c r="F17" s="205"/>
      <c r="G17" s="205"/>
      <c r="H17" s="71">
        <f>239101+119540+239059</f>
        <v>597700</v>
      </c>
      <c r="I17" s="7" t="s">
        <v>193</v>
      </c>
      <c r="J17" s="24" t="s">
        <v>291</v>
      </c>
      <c r="K17" s="7" t="s">
        <v>292</v>
      </c>
    </row>
    <row r="18" spans="1:11" s="51" customFormat="1" ht="42.75" customHeight="1" x14ac:dyDescent="0.35">
      <c r="A18" s="24" t="s">
        <v>666</v>
      </c>
      <c r="B18" s="24" t="s">
        <v>391</v>
      </c>
      <c r="C18" s="69" t="s">
        <v>55</v>
      </c>
      <c r="D18" s="69" t="s">
        <v>56</v>
      </c>
      <c r="E18" s="7" t="s">
        <v>57</v>
      </c>
      <c r="F18" s="205"/>
      <c r="G18" s="205"/>
      <c r="H18" s="71">
        <v>21492463.149999999</v>
      </c>
      <c r="I18" s="7" t="s">
        <v>193</v>
      </c>
      <c r="J18" s="24" t="s">
        <v>392</v>
      </c>
      <c r="K18" s="7" t="s">
        <v>85</v>
      </c>
    </row>
    <row r="19" spans="1:11" s="51" customFormat="1" ht="52.5" x14ac:dyDescent="0.35">
      <c r="A19" s="24" t="s">
        <v>360</v>
      </c>
      <c r="B19" s="24" t="s">
        <v>463</v>
      </c>
      <c r="C19" s="69" t="s">
        <v>55</v>
      </c>
      <c r="D19" s="69" t="s">
        <v>56</v>
      </c>
      <c r="E19" s="7" t="s">
        <v>57</v>
      </c>
      <c r="F19" s="205"/>
      <c r="G19" s="205"/>
      <c r="H19" s="71">
        <v>91200</v>
      </c>
      <c r="I19" s="7" t="s">
        <v>193</v>
      </c>
      <c r="J19" s="24" t="s">
        <v>464</v>
      </c>
      <c r="K19" s="7" t="s">
        <v>85</v>
      </c>
    </row>
    <row r="20" spans="1:11" s="51" customFormat="1" ht="35" x14ac:dyDescent="0.35">
      <c r="A20" s="24" t="s">
        <v>500</v>
      </c>
      <c r="B20" s="24" t="s">
        <v>520</v>
      </c>
      <c r="C20" s="69" t="s">
        <v>55</v>
      </c>
      <c r="D20" s="69" t="s">
        <v>56</v>
      </c>
      <c r="E20" s="7" t="s">
        <v>57</v>
      </c>
      <c r="F20" s="205"/>
      <c r="G20" s="205"/>
      <c r="H20" s="71">
        <f>456285+357447+173109+89091+541500</f>
        <v>1617432</v>
      </c>
      <c r="I20" s="7" t="s">
        <v>193</v>
      </c>
      <c r="J20" s="24" t="s">
        <v>669</v>
      </c>
      <c r="K20" s="7" t="s">
        <v>85</v>
      </c>
    </row>
    <row r="21" spans="1:11" s="51" customFormat="1" ht="35" x14ac:dyDescent="0.35">
      <c r="A21" s="24" t="s">
        <v>501</v>
      </c>
      <c r="B21" s="24" t="s">
        <v>520</v>
      </c>
      <c r="C21" s="69" t="s">
        <v>55</v>
      </c>
      <c r="D21" s="69" t="s">
        <v>56</v>
      </c>
      <c r="E21" s="7" t="s">
        <v>57</v>
      </c>
      <c r="F21" s="205"/>
      <c r="G21" s="205"/>
      <c r="H21" s="71">
        <f>430250+1004400</f>
        <v>1434650</v>
      </c>
      <c r="I21" s="7" t="s">
        <v>193</v>
      </c>
      <c r="J21" s="24" t="s">
        <v>669</v>
      </c>
      <c r="K21" s="7" t="s">
        <v>85</v>
      </c>
    </row>
    <row r="22" spans="1:11" s="51" customFormat="1" ht="35" x14ac:dyDescent="0.35">
      <c r="A22" s="24" t="s">
        <v>502</v>
      </c>
      <c r="B22" s="24" t="s">
        <v>668</v>
      </c>
      <c r="C22" s="69" t="s">
        <v>55</v>
      </c>
      <c r="D22" s="69" t="s">
        <v>548</v>
      </c>
      <c r="E22" s="7" t="s">
        <v>549</v>
      </c>
      <c r="F22" s="205"/>
      <c r="G22" s="205"/>
      <c r="H22" s="71">
        <v>374364</v>
      </c>
      <c r="I22" s="7" t="s">
        <v>193</v>
      </c>
      <c r="J22" s="24" t="s">
        <v>668</v>
      </c>
      <c r="K22" s="7" t="s">
        <v>550</v>
      </c>
    </row>
    <row r="23" spans="1:11" s="51" customFormat="1" ht="35" x14ac:dyDescent="0.35">
      <c r="A23" s="24" t="s">
        <v>503</v>
      </c>
      <c r="B23" s="24" t="s">
        <v>551</v>
      </c>
      <c r="C23" s="69" t="s">
        <v>55</v>
      </c>
      <c r="D23" s="69" t="s">
        <v>56</v>
      </c>
      <c r="E23" s="7" t="s">
        <v>57</v>
      </c>
      <c r="F23" s="205"/>
      <c r="G23" s="205"/>
      <c r="H23" s="71">
        <f>80000+96000+450073.2</f>
        <v>626073.19999999995</v>
      </c>
      <c r="I23" s="7" t="s">
        <v>193</v>
      </c>
      <c r="J23" s="24" t="s">
        <v>552</v>
      </c>
      <c r="K23" s="7" t="s">
        <v>553</v>
      </c>
    </row>
    <row r="24" spans="1:11" s="51" customFormat="1" x14ac:dyDescent="0.35">
      <c r="A24" s="24" t="s">
        <v>53</v>
      </c>
      <c r="B24" s="24" t="s">
        <v>667</v>
      </c>
      <c r="C24" s="69" t="s">
        <v>539</v>
      </c>
      <c r="D24" s="69" t="s">
        <v>56</v>
      </c>
      <c r="E24" s="7" t="s">
        <v>540</v>
      </c>
      <c r="F24" s="205"/>
      <c r="G24" s="205"/>
      <c r="H24" s="71">
        <f>2642393.18-255636.17</f>
        <v>2386757.0100000002</v>
      </c>
      <c r="I24" s="7" t="s">
        <v>193</v>
      </c>
      <c r="J24" s="24" t="s">
        <v>667</v>
      </c>
      <c r="K24" s="7" t="s">
        <v>541</v>
      </c>
    </row>
    <row r="25" spans="1:11" s="51" customFormat="1" ht="70" x14ac:dyDescent="0.35">
      <c r="A25" s="24" t="s">
        <v>561</v>
      </c>
      <c r="B25" s="24" t="s">
        <v>618</v>
      </c>
      <c r="C25" s="69" t="s">
        <v>619</v>
      </c>
      <c r="D25" s="69" t="s">
        <v>620</v>
      </c>
      <c r="E25" s="7" t="s">
        <v>57</v>
      </c>
      <c r="F25" s="205"/>
      <c r="G25" s="205"/>
      <c r="H25" s="71">
        <f>4199451.42+4537564.8</f>
        <v>8737016.2199999988</v>
      </c>
      <c r="I25" s="7" t="s">
        <v>193</v>
      </c>
      <c r="J25" s="24" t="s">
        <v>618</v>
      </c>
      <c r="K25" s="7" t="s">
        <v>553</v>
      </c>
    </row>
    <row r="26" spans="1:11" s="51" customFormat="1" ht="70" x14ac:dyDescent="0.35">
      <c r="A26" s="24" t="s">
        <v>217</v>
      </c>
      <c r="B26" s="24" t="s">
        <v>572</v>
      </c>
      <c r="C26" s="69" t="s">
        <v>570</v>
      </c>
      <c r="D26" s="69" t="s">
        <v>571</v>
      </c>
      <c r="E26" s="7" t="s">
        <v>483</v>
      </c>
      <c r="F26" s="205"/>
      <c r="G26" s="205"/>
      <c r="H26" s="71">
        <f>40885.01+134636</f>
        <v>175521.01</v>
      </c>
      <c r="I26" s="7" t="s">
        <v>193</v>
      </c>
      <c r="J26" s="24" t="s">
        <v>573</v>
      </c>
      <c r="K26" s="7" t="s">
        <v>574</v>
      </c>
    </row>
    <row r="27" spans="1:11" s="51" customFormat="1" ht="52.5" x14ac:dyDescent="0.35">
      <c r="A27" s="24" t="s">
        <v>611</v>
      </c>
      <c r="B27" s="24" t="s">
        <v>612</v>
      </c>
      <c r="C27" s="69" t="s">
        <v>613</v>
      </c>
      <c r="D27" s="69" t="s">
        <v>56</v>
      </c>
      <c r="E27" s="7" t="s">
        <v>57</v>
      </c>
      <c r="F27" s="205"/>
      <c r="G27" s="205"/>
      <c r="H27" s="71">
        <v>7968843.96</v>
      </c>
      <c r="I27" s="7" t="s">
        <v>193</v>
      </c>
      <c r="J27" s="24" t="s">
        <v>612</v>
      </c>
      <c r="K27" s="7" t="s">
        <v>553</v>
      </c>
    </row>
    <row r="28" spans="1:11" s="51" customFormat="1" ht="35" x14ac:dyDescent="0.35">
      <c r="A28" s="24" t="s">
        <v>592</v>
      </c>
      <c r="B28" s="24" t="s">
        <v>140</v>
      </c>
      <c r="C28" s="69" t="s">
        <v>646</v>
      </c>
      <c r="D28" s="69" t="s">
        <v>647</v>
      </c>
      <c r="E28" s="7" t="s">
        <v>483</v>
      </c>
      <c r="F28" s="205"/>
      <c r="G28" s="205"/>
      <c r="H28" s="71">
        <f>232144+0.25+325001.75</f>
        <v>557146</v>
      </c>
      <c r="I28" s="7" t="s">
        <v>193</v>
      </c>
      <c r="J28" s="24" t="s">
        <v>648</v>
      </c>
      <c r="K28" s="7" t="s">
        <v>553</v>
      </c>
    </row>
    <row r="29" spans="1:11" s="51" customFormat="1" ht="35" x14ac:dyDescent="0.35">
      <c r="A29" s="24" t="s">
        <v>593</v>
      </c>
      <c r="B29" s="24" t="s">
        <v>614</v>
      </c>
      <c r="C29" s="69" t="s">
        <v>615</v>
      </c>
      <c r="D29" s="69" t="s">
        <v>616</v>
      </c>
      <c r="E29" s="7" t="s">
        <v>617</v>
      </c>
      <c r="F29" s="205"/>
      <c r="G29" s="205"/>
      <c r="H29" s="71">
        <v>99936.8</v>
      </c>
      <c r="I29" s="7" t="s">
        <v>193</v>
      </c>
      <c r="J29" s="24" t="s">
        <v>614</v>
      </c>
      <c r="K29" s="7" t="s">
        <v>85</v>
      </c>
    </row>
    <row r="30" spans="1:11" s="51" customFormat="1" ht="35" x14ac:dyDescent="0.35">
      <c r="A30" s="79" t="s">
        <v>594</v>
      </c>
      <c r="B30" s="24" t="s">
        <v>607</v>
      </c>
      <c r="C30" s="69" t="s">
        <v>608</v>
      </c>
      <c r="D30" s="69" t="s">
        <v>609</v>
      </c>
      <c r="E30" s="7" t="s">
        <v>57</v>
      </c>
      <c r="F30" s="205"/>
      <c r="G30" s="205"/>
      <c r="H30" s="71">
        <v>357360</v>
      </c>
      <c r="I30" s="7" t="s">
        <v>193</v>
      </c>
      <c r="J30" s="24" t="s">
        <v>610</v>
      </c>
      <c r="K30" s="7" t="s">
        <v>553</v>
      </c>
    </row>
    <row r="31" spans="1:11" s="51" customFormat="1" ht="87.5" x14ac:dyDescent="0.35">
      <c r="A31" s="24" t="s">
        <v>595</v>
      </c>
      <c r="B31" s="24" t="s">
        <v>649</v>
      </c>
      <c r="C31" s="69" t="s">
        <v>55</v>
      </c>
      <c r="D31" s="69" t="s">
        <v>56</v>
      </c>
      <c r="E31" s="7" t="s">
        <v>57</v>
      </c>
      <c r="F31" s="205"/>
      <c r="G31" s="205"/>
      <c r="H31" s="71">
        <v>1938522.11</v>
      </c>
      <c r="I31" s="7" t="s">
        <v>193</v>
      </c>
      <c r="J31" s="24" t="s">
        <v>650</v>
      </c>
      <c r="K31" s="7" t="s">
        <v>651</v>
      </c>
    </row>
    <row r="32" spans="1:11" s="51" customFormat="1" x14ac:dyDescent="0.35">
      <c r="A32" s="24"/>
      <c r="B32" s="24"/>
      <c r="C32" s="69"/>
      <c r="D32" s="69"/>
      <c r="E32" s="7"/>
      <c r="F32" s="205"/>
      <c r="G32" s="205"/>
      <c r="H32" s="71"/>
      <c r="I32" s="7"/>
      <c r="J32" s="24"/>
      <c r="K32" s="7"/>
    </row>
    <row r="33" spans="1:11" s="51" customFormat="1" ht="52.5" customHeight="1" x14ac:dyDescent="0.35">
      <c r="A33" s="54" t="s">
        <v>6</v>
      </c>
      <c r="B33" s="4"/>
      <c r="C33" s="4"/>
      <c r="D33" s="4"/>
      <c r="E33" s="5"/>
      <c r="F33" s="19"/>
      <c r="G33" s="5"/>
      <c r="H33" s="76">
        <f>SUM(H13:H31)</f>
        <v>55224572.099999994</v>
      </c>
      <c r="I33" s="11"/>
      <c r="J33" s="11"/>
      <c r="K33" s="19"/>
    </row>
    <row r="34" spans="1:11" s="51" customFormat="1" ht="33" customHeight="1" x14ac:dyDescent="0.35">
      <c r="A34" s="272"/>
      <c r="B34" s="272"/>
      <c r="C34" s="272"/>
      <c r="D34" s="272"/>
      <c r="E34" s="272"/>
      <c r="F34" s="272"/>
      <c r="G34" s="272"/>
      <c r="H34" s="272"/>
      <c r="I34" s="272"/>
      <c r="J34" s="272"/>
      <c r="K34" s="272"/>
    </row>
    <row r="35" spans="1:11" s="51" customFormat="1" ht="41.25" customHeight="1" x14ac:dyDescent="0.35">
      <c r="A35" s="270" t="s">
        <v>26</v>
      </c>
      <c r="B35" s="270"/>
      <c r="C35" s="270"/>
      <c r="D35" s="270"/>
      <c r="E35" s="270"/>
      <c r="F35" s="270"/>
      <c r="G35" s="270"/>
      <c r="H35" s="270"/>
      <c r="I35" s="270"/>
      <c r="J35" s="270"/>
      <c r="K35" s="270"/>
    </row>
    <row r="36" spans="1:11" s="51" customFormat="1" ht="36" x14ac:dyDescent="0.35">
      <c r="A36" s="151" t="s">
        <v>0</v>
      </c>
      <c r="B36" s="151" t="s">
        <v>1</v>
      </c>
      <c r="C36" s="150" t="s">
        <v>12</v>
      </c>
      <c r="D36" s="150" t="s">
        <v>13</v>
      </c>
      <c r="E36" s="151" t="s">
        <v>2</v>
      </c>
      <c r="F36" s="152" t="s">
        <v>3</v>
      </c>
      <c r="G36" s="151" t="s">
        <v>4</v>
      </c>
      <c r="H36" s="156" t="s">
        <v>7</v>
      </c>
      <c r="I36" s="150" t="s">
        <v>14</v>
      </c>
      <c r="J36" s="150" t="s">
        <v>10</v>
      </c>
      <c r="K36" s="150" t="s">
        <v>9</v>
      </c>
    </row>
    <row r="37" spans="1:11" s="51" customFormat="1" ht="45.75" customHeight="1" x14ac:dyDescent="0.35">
      <c r="A37" s="31"/>
      <c r="B37" s="2"/>
      <c r="C37" s="81"/>
      <c r="D37" s="81"/>
      <c r="E37" s="16"/>
      <c r="F37" s="6"/>
      <c r="G37" s="6"/>
      <c r="H37" s="12">
        <v>0</v>
      </c>
      <c r="I37" s="17"/>
      <c r="J37" s="22"/>
      <c r="K37" s="7"/>
    </row>
    <row r="38" spans="1:11" s="51" customFormat="1" ht="42" customHeight="1" x14ac:dyDescent="0.35">
      <c r="A38" s="31"/>
      <c r="B38" s="2"/>
      <c r="C38" s="81"/>
      <c r="D38" s="81"/>
      <c r="E38" s="16"/>
      <c r="F38" s="6"/>
      <c r="G38" s="6"/>
      <c r="H38" s="157"/>
      <c r="I38" s="17"/>
      <c r="J38" s="22"/>
      <c r="K38" s="7"/>
    </row>
    <row r="39" spans="1:11" s="136" customFormat="1" ht="39" customHeight="1" x14ac:dyDescent="0.35">
      <c r="A39" s="46" t="s">
        <v>6</v>
      </c>
      <c r="B39" s="30"/>
      <c r="C39" s="30"/>
      <c r="D39" s="30"/>
      <c r="E39" s="41"/>
      <c r="F39" s="46"/>
      <c r="G39" s="41"/>
      <c r="H39" s="158">
        <f>SUM(H37:H38)</f>
        <v>0</v>
      </c>
      <c r="I39" s="11"/>
      <c r="J39" s="11"/>
      <c r="K39" s="11"/>
    </row>
    <row r="40" spans="1:11" s="115" customFormat="1" ht="35.25" customHeight="1" x14ac:dyDescent="0.35">
      <c r="A40" s="268"/>
      <c r="B40" s="268"/>
      <c r="C40" s="268"/>
      <c r="D40" s="268"/>
      <c r="E40" s="268"/>
      <c r="F40" s="268"/>
      <c r="G40" s="268"/>
      <c r="H40" s="268"/>
      <c r="I40" s="268"/>
      <c r="J40" s="268"/>
      <c r="K40" s="268"/>
    </row>
    <row r="41" spans="1:11" s="115" customFormat="1" ht="35.25" customHeight="1" x14ac:dyDescent="0.35">
      <c r="A41" s="268" t="s">
        <v>27</v>
      </c>
      <c r="B41" s="268"/>
      <c r="C41" s="268"/>
      <c r="D41" s="268"/>
      <c r="E41" s="268"/>
      <c r="F41" s="268"/>
      <c r="G41" s="268"/>
      <c r="H41" s="268"/>
      <c r="I41" s="268"/>
      <c r="J41" s="268"/>
      <c r="K41" s="268"/>
    </row>
    <row r="42" spans="1:11" s="115" customFormat="1" ht="36" x14ac:dyDescent="0.35">
      <c r="A42" s="151" t="s">
        <v>0</v>
      </c>
      <c r="B42" s="151" t="s">
        <v>1</v>
      </c>
      <c r="C42" s="150" t="s">
        <v>12</v>
      </c>
      <c r="D42" s="150" t="s">
        <v>13</v>
      </c>
      <c r="E42" s="151" t="s">
        <v>2</v>
      </c>
      <c r="F42" s="152" t="s">
        <v>3</v>
      </c>
      <c r="G42" s="151" t="s">
        <v>4</v>
      </c>
      <c r="H42" s="156" t="s">
        <v>7</v>
      </c>
      <c r="I42" s="150" t="s">
        <v>14</v>
      </c>
      <c r="J42" s="150" t="s">
        <v>10</v>
      </c>
      <c r="K42" s="150" t="s">
        <v>9</v>
      </c>
    </row>
    <row r="43" spans="1:11" s="115" customFormat="1" ht="42" customHeight="1" x14ac:dyDescent="0.35">
      <c r="A43" s="48"/>
      <c r="B43" s="48"/>
      <c r="C43" s="190"/>
      <c r="D43" s="190"/>
      <c r="E43" s="48"/>
      <c r="F43" s="49"/>
      <c r="G43" s="48"/>
      <c r="H43" s="12">
        <v>0</v>
      </c>
      <c r="I43" s="190"/>
      <c r="J43" s="190"/>
      <c r="K43" s="190"/>
    </row>
    <row r="44" spans="1:11" s="115" customFormat="1" ht="42" customHeight="1" x14ac:dyDescent="0.35">
      <c r="A44" s="7"/>
      <c r="B44" s="7"/>
      <c r="C44" s="69"/>
      <c r="D44" s="69"/>
      <c r="E44" s="25"/>
      <c r="F44" s="49"/>
      <c r="G44" s="48"/>
      <c r="H44" s="159"/>
      <c r="I44" s="7"/>
      <c r="J44" s="7"/>
      <c r="K44" s="7"/>
    </row>
    <row r="45" spans="1:11" s="115" customFormat="1" ht="33" customHeight="1" x14ac:dyDescent="0.35">
      <c r="A45" s="46" t="s">
        <v>6</v>
      </c>
      <c r="B45" s="11"/>
      <c r="C45" s="11"/>
      <c r="D45" s="11"/>
      <c r="E45" s="5"/>
      <c r="F45" s="19"/>
      <c r="G45" s="5"/>
      <c r="H45" s="156">
        <f>SUM(H43:H44)</f>
        <v>0</v>
      </c>
      <c r="I45" s="11"/>
      <c r="J45" s="11"/>
      <c r="K45" s="11"/>
    </row>
    <row r="46" spans="1:11" s="103" customFormat="1" ht="18" x14ac:dyDescent="0.35">
      <c r="A46" s="47"/>
      <c r="B46" s="40"/>
      <c r="C46" s="40"/>
      <c r="D46" s="40"/>
      <c r="E46" s="188"/>
      <c r="F46" s="51"/>
      <c r="G46" s="188"/>
      <c r="H46" s="160"/>
      <c r="I46" s="40"/>
      <c r="J46" s="40"/>
      <c r="K46" s="40"/>
    </row>
    <row r="47" spans="1:11" s="103" customFormat="1" ht="31.5" customHeight="1" x14ac:dyDescent="0.35">
      <c r="A47" s="268"/>
      <c r="B47" s="268"/>
      <c r="C47" s="268"/>
      <c r="D47" s="268"/>
      <c r="E47" s="268"/>
      <c r="F47" s="268"/>
      <c r="G47" s="268"/>
      <c r="H47" s="268"/>
      <c r="I47" s="268"/>
      <c r="J47" s="268"/>
      <c r="K47" s="268"/>
    </row>
    <row r="48" spans="1:11" s="103" customFormat="1" ht="42.75" customHeight="1" x14ac:dyDescent="0.35">
      <c r="A48" s="262" t="s">
        <v>17</v>
      </c>
      <c r="B48" s="262"/>
      <c r="C48" s="262"/>
      <c r="D48" s="262"/>
      <c r="E48" s="262"/>
      <c r="F48" s="262"/>
      <c r="G48" s="262"/>
      <c r="H48" s="262"/>
      <c r="I48" s="262"/>
      <c r="J48" s="262"/>
      <c r="K48" s="262"/>
    </row>
    <row r="49" spans="1:11" s="103" customFormat="1" ht="36" x14ac:dyDescent="0.35">
      <c r="A49" s="151" t="s">
        <v>0</v>
      </c>
      <c r="B49" s="151" t="s">
        <v>1</v>
      </c>
      <c r="C49" s="150" t="s">
        <v>12</v>
      </c>
      <c r="D49" s="150" t="s">
        <v>13</v>
      </c>
      <c r="E49" s="151" t="s">
        <v>2</v>
      </c>
      <c r="F49" s="152" t="s">
        <v>3</v>
      </c>
      <c r="G49" s="151" t="s">
        <v>4</v>
      </c>
      <c r="H49" s="156" t="s">
        <v>7</v>
      </c>
      <c r="I49" s="150" t="s">
        <v>14</v>
      </c>
      <c r="J49" s="150" t="s">
        <v>10</v>
      </c>
      <c r="K49" s="150" t="s">
        <v>9</v>
      </c>
    </row>
    <row r="50" spans="1:11" s="51" customFormat="1" ht="47.25" customHeight="1" x14ac:dyDescent="0.35">
      <c r="A50" s="31" t="s">
        <v>62</v>
      </c>
      <c r="B50" s="2" t="s">
        <v>671</v>
      </c>
      <c r="C50" s="32" t="s">
        <v>55</v>
      </c>
      <c r="D50" s="33" t="s">
        <v>56</v>
      </c>
      <c r="E50" s="34" t="s">
        <v>57</v>
      </c>
      <c r="F50" s="253"/>
      <c r="G50" s="253"/>
      <c r="H50" s="221">
        <f>3082719.79+10000+38893.75+10106.25+5512.5+2399+32475.75+52276.12+51357+123690+19950+11600+45213+117990+221444.68+21660+32539.5</f>
        <v>3879827.3400000003</v>
      </c>
      <c r="I50" s="7" t="s">
        <v>63</v>
      </c>
      <c r="J50" s="7" t="s">
        <v>52</v>
      </c>
      <c r="K50" s="19"/>
    </row>
    <row r="51" spans="1:11" s="97" customFormat="1" ht="52.5" x14ac:dyDescent="0.35">
      <c r="A51" s="24" t="s">
        <v>556</v>
      </c>
      <c r="B51" s="24" t="s">
        <v>672</v>
      </c>
      <c r="C51" s="69" t="s">
        <v>638</v>
      </c>
      <c r="D51" s="69" t="s">
        <v>639</v>
      </c>
      <c r="E51" s="7" t="s">
        <v>530</v>
      </c>
      <c r="F51" s="88"/>
      <c r="G51" s="88"/>
      <c r="H51" s="71">
        <v>572000</v>
      </c>
      <c r="I51" s="7" t="s">
        <v>63</v>
      </c>
      <c r="J51" s="24" t="s">
        <v>672</v>
      </c>
      <c r="K51" s="7" t="s">
        <v>412</v>
      </c>
    </row>
    <row r="52" spans="1:11" ht="34.5" customHeight="1" x14ac:dyDescent="0.35">
      <c r="A52" s="54" t="s">
        <v>6</v>
      </c>
      <c r="B52" s="4"/>
      <c r="C52" s="4"/>
      <c r="D52" s="4"/>
      <c r="E52" s="5"/>
      <c r="F52" s="19"/>
      <c r="G52" s="5"/>
      <c r="H52" s="76">
        <f>SUM(H50:H51)</f>
        <v>4451827.34</v>
      </c>
      <c r="I52" s="11"/>
      <c r="J52" s="11">
        <v>0</v>
      </c>
      <c r="K52" s="19"/>
    </row>
    <row r="53" spans="1:11" s="47" customFormat="1" ht="51" customHeight="1" x14ac:dyDescent="0.35">
      <c r="A53" s="269"/>
      <c r="B53" s="269"/>
      <c r="C53" s="269"/>
      <c r="D53" s="269"/>
      <c r="E53" s="269"/>
      <c r="F53" s="269"/>
      <c r="G53" s="269"/>
      <c r="H53" s="269"/>
      <c r="I53" s="269"/>
      <c r="J53" s="269"/>
      <c r="K53" s="269"/>
    </row>
    <row r="54" spans="1:11" s="90" customFormat="1" ht="42.75" customHeight="1" x14ac:dyDescent="0.35">
      <c r="A54" s="264" t="s">
        <v>18</v>
      </c>
      <c r="B54" s="264"/>
      <c r="C54" s="264"/>
      <c r="D54" s="264"/>
      <c r="E54" s="264"/>
      <c r="F54" s="264"/>
      <c r="G54" s="264"/>
      <c r="H54" s="264"/>
      <c r="I54" s="264"/>
      <c r="J54" s="264"/>
      <c r="K54" s="264"/>
    </row>
    <row r="55" spans="1:11" s="51" customFormat="1" ht="55.5" customHeight="1" x14ac:dyDescent="0.35">
      <c r="A55" s="151" t="s">
        <v>0</v>
      </c>
      <c r="B55" s="151" t="s">
        <v>1</v>
      </c>
      <c r="C55" s="150" t="s">
        <v>12</v>
      </c>
      <c r="D55" s="150" t="s">
        <v>13</v>
      </c>
      <c r="E55" s="151" t="s">
        <v>2</v>
      </c>
      <c r="F55" s="152" t="s">
        <v>3</v>
      </c>
      <c r="G55" s="151" t="s">
        <v>4</v>
      </c>
      <c r="H55" s="156" t="s">
        <v>7</v>
      </c>
      <c r="I55" s="150" t="s">
        <v>14</v>
      </c>
      <c r="J55" s="150" t="s">
        <v>10</v>
      </c>
      <c r="K55" s="150" t="s">
        <v>9</v>
      </c>
    </row>
    <row r="56" spans="1:11" s="51" customFormat="1" ht="57" customHeight="1" x14ac:dyDescent="0.35">
      <c r="A56" s="86" t="s">
        <v>276</v>
      </c>
      <c r="B56" s="8" t="s">
        <v>282</v>
      </c>
      <c r="C56" s="69" t="s">
        <v>50</v>
      </c>
      <c r="D56" s="69"/>
      <c r="E56" s="9"/>
      <c r="F56" s="290"/>
      <c r="G56" s="291"/>
      <c r="H56" s="71">
        <v>3300</v>
      </c>
      <c r="I56" s="8" t="s">
        <v>178</v>
      </c>
      <c r="J56" s="8" t="s">
        <v>282</v>
      </c>
      <c r="K56" s="2" t="s">
        <v>283</v>
      </c>
    </row>
    <row r="57" spans="1:11" s="51" customFormat="1" ht="39.75" customHeight="1" x14ac:dyDescent="0.35">
      <c r="A57" s="24" t="s">
        <v>379</v>
      </c>
      <c r="B57" s="24" t="s">
        <v>163</v>
      </c>
      <c r="C57" s="69" t="s">
        <v>50</v>
      </c>
      <c r="D57" s="69"/>
      <c r="E57" s="7"/>
      <c r="F57" s="6"/>
      <c r="G57" s="6"/>
      <c r="H57" s="71">
        <f>1700+1706.3+552.9</f>
        <v>3959.2000000000003</v>
      </c>
      <c r="I57" s="7" t="s">
        <v>380</v>
      </c>
      <c r="J57" s="7" t="s">
        <v>673</v>
      </c>
      <c r="K57" s="2" t="s">
        <v>85</v>
      </c>
    </row>
    <row r="58" spans="1:11" s="51" customFormat="1" ht="39.75" customHeight="1" x14ac:dyDescent="0.35">
      <c r="A58" s="24" t="s">
        <v>53</v>
      </c>
      <c r="B58" s="24" t="s">
        <v>54</v>
      </c>
      <c r="C58" s="69" t="s">
        <v>55</v>
      </c>
      <c r="D58" s="69" t="s">
        <v>56</v>
      </c>
      <c r="E58" s="7" t="s">
        <v>57</v>
      </c>
      <c r="F58" s="253"/>
      <c r="G58" s="253"/>
      <c r="H58" s="71">
        <v>600</v>
      </c>
      <c r="I58" s="7" t="s">
        <v>507</v>
      </c>
      <c r="J58" s="7" t="s">
        <v>674</v>
      </c>
      <c r="K58" s="2"/>
    </row>
    <row r="59" spans="1:11" s="51" customFormat="1" ht="39.75" customHeight="1" x14ac:dyDescent="0.35">
      <c r="A59" s="24" t="s">
        <v>53</v>
      </c>
      <c r="B59" s="24" t="s">
        <v>282</v>
      </c>
      <c r="C59" s="69" t="s">
        <v>55</v>
      </c>
      <c r="D59" s="69" t="s">
        <v>56</v>
      </c>
      <c r="E59" s="7" t="s">
        <v>57</v>
      </c>
      <c r="F59" s="253"/>
      <c r="G59" s="253"/>
      <c r="H59" s="71">
        <v>68024743.290000007</v>
      </c>
      <c r="I59" s="7" t="s">
        <v>178</v>
      </c>
      <c r="J59" s="7" t="s">
        <v>676</v>
      </c>
      <c r="K59" s="190" t="s">
        <v>547</v>
      </c>
    </row>
    <row r="60" spans="1:11" s="47" customFormat="1" ht="41.25" customHeight="1" x14ac:dyDescent="0.35">
      <c r="A60" s="54" t="s">
        <v>6</v>
      </c>
      <c r="B60" s="4"/>
      <c r="C60" s="4"/>
      <c r="D60" s="4"/>
      <c r="E60" s="5"/>
      <c r="F60" s="19"/>
      <c r="G60" s="5"/>
      <c r="H60" s="76">
        <f>SUM(H56:H59)</f>
        <v>68032602.49000001</v>
      </c>
      <c r="I60" s="11"/>
      <c r="J60" s="11"/>
      <c r="K60" s="19"/>
    </row>
    <row r="61" spans="1:11" s="47" customFormat="1" ht="41.25" customHeight="1" x14ac:dyDescent="0.35">
      <c r="A61" s="288"/>
      <c r="B61" s="288"/>
      <c r="C61" s="288"/>
      <c r="D61" s="288"/>
      <c r="E61" s="288"/>
      <c r="F61" s="288"/>
      <c r="G61" s="288"/>
      <c r="H61" s="288"/>
      <c r="I61" s="288"/>
      <c r="J61" s="288"/>
      <c r="K61" s="288"/>
    </row>
    <row r="62" spans="1:11" s="47" customFormat="1" ht="41.25" customHeight="1" x14ac:dyDescent="0.35">
      <c r="A62" s="264" t="s">
        <v>19</v>
      </c>
      <c r="B62" s="264"/>
      <c r="C62" s="264"/>
      <c r="D62" s="264"/>
      <c r="E62" s="264"/>
      <c r="F62" s="264"/>
      <c r="G62" s="264"/>
      <c r="H62" s="264"/>
      <c r="I62" s="264"/>
      <c r="J62" s="264"/>
      <c r="K62" s="264"/>
    </row>
    <row r="63" spans="1:11" s="47" customFormat="1" ht="41.25" customHeight="1" x14ac:dyDescent="0.35">
      <c r="A63" s="151" t="s">
        <v>0</v>
      </c>
      <c r="B63" s="151" t="s">
        <v>1</v>
      </c>
      <c r="C63" s="150" t="s">
        <v>12</v>
      </c>
      <c r="D63" s="150" t="s">
        <v>13</v>
      </c>
      <c r="E63" s="151" t="s">
        <v>2</v>
      </c>
      <c r="F63" s="152" t="s">
        <v>3</v>
      </c>
      <c r="G63" s="151" t="s">
        <v>4</v>
      </c>
      <c r="H63" s="156" t="s">
        <v>7</v>
      </c>
      <c r="I63" s="150" t="s">
        <v>14</v>
      </c>
      <c r="J63" s="150" t="s">
        <v>10</v>
      </c>
      <c r="K63" s="150" t="s">
        <v>9</v>
      </c>
    </row>
    <row r="64" spans="1:11" s="90" customFormat="1" ht="56.25" customHeight="1" x14ac:dyDescent="0.35">
      <c r="A64" s="3" t="s">
        <v>357</v>
      </c>
      <c r="B64" s="7" t="s">
        <v>544</v>
      </c>
      <c r="C64" s="190" t="s">
        <v>545</v>
      </c>
      <c r="D64" s="190" t="s">
        <v>546</v>
      </c>
      <c r="E64" s="48" t="s">
        <v>242</v>
      </c>
      <c r="F64" s="49"/>
      <c r="G64" s="48"/>
      <c r="H64" s="71">
        <v>27422612.809999999</v>
      </c>
      <c r="I64" s="7" t="s">
        <v>193</v>
      </c>
      <c r="J64" s="190" t="s">
        <v>675</v>
      </c>
      <c r="K64" s="190" t="s">
        <v>547</v>
      </c>
    </row>
    <row r="65" spans="1:11" s="51" customFormat="1" ht="39.75" customHeight="1" x14ac:dyDescent="0.35">
      <c r="A65" s="54" t="s">
        <v>6</v>
      </c>
      <c r="B65" s="57"/>
      <c r="C65" s="57"/>
      <c r="D65" s="57"/>
      <c r="E65" s="41"/>
      <c r="F65" s="46"/>
      <c r="G65" s="41"/>
      <c r="H65" s="256">
        <f>SUM(H64:H64)</f>
        <v>27422612.809999999</v>
      </c>
      <c r="I65" s="11"/>
      <c r="J65" s="11"/>
      <c r="K65" s="19"/>
    </row>
    <row r="66" spans="1:11" s="51" customFormat="1" ht="29.15" customHeight="1" x14ac:dyDescent="0.35">
      <c r="A66" s="117"/>
      <c r="B66" s="118"/>
      <c r="C66" s="118"/>
      <c r="D66" s="118"/>
      <c r="E66" s="186"/>
      <c r="F66" s="47"/>
      <c r="G66" s="186"/>
      <c r="H66" s="165"/>
      <c r="I66" s="40"/>
      <c r="J66" s="40"/>
    </row>
    <row r="67" spans="1:11" s="115" customFormat="1" ht="42.75" customHeight="1" x14ac:dyDescent="0.35">
      <c r="A67" s="56" t="s">
        <v>8</v>
      </c>
      <c r="B67" s="15"/>
      <c r="C67" s="192"/>
      <c r="D67" s="192"/>
      <c r="E67" s="16"/>
      <c r="F67" s="6"/>
      <c r="G67" s="6"/>
      <c r="H67" s="193">
        <f>+H65+H60+H52+H45+H39+H33</f>
        <v>155131614.74000001</v>
      </c>
      <c r="I67" s="17"/>
      <c r="J67" s="7"/>
      <c r="K67" s="7"/>
    </row>
    <row r="68" spans="1:11" s="51" customFormat="1" ht="29.15" customHeight="1" x14ac:dyDescent="0.35">
      <c r="A68" s="266"/>
      <c r="B68" s="267"/>
      <c r="C68" s="267"/>
      <c r="D68" s="267"/>
      <c r="E68" s="267"/>
      <c r="F68" s="267"/>
      <c r="G68" s="267"/>
      <c r="H68" s="267"/>
      <c r="I68" s="61"/>
      <c r="J68" s="61"/>
      <c r="K68" s="29"/>
    </row>
    <row r="69" spans="1:11" s="51" customFormat="1" ht="49.5" customHeight="1" x14ac:dyDescent="0.35">
      <c r="A69" s="116"/>
      <c r="B69" s="114"/>
      <c r="C69" s="114"/>
      <c r="D69" s="114"/>
      <c r="E69" s="188"/>
      <c r="G69" s="188"/>
      <c r="H69" s="164"/>
      <c r="I69" s="40"/>
      <c r="J69" s="40"/>
    </row>
    <row r="70" spans="1:11" s="51" customFormat="1" ht="49.5" customHeight="1" x14ac:dyDescent="0.35">
      <c r="A70" s="116"/>
      <c r="B70" s="114"/>
      <c r="C70" s="114"/>
      <c r="D70" s="114"/>
      <c r="E70" s="188"/>
      <c r="G70" s="188"/>
      <c r="H70" s="165"/>
      <c r="I70" s="40"/>
      <c r="J70" s="40"/>
    </row>
    <row r="71" spans="1:11" s="51" customFormat="1" ht="49.5" customHeight="1" x14ac:dyDescent="0.35">
      <c r="A71" s="269"/>
      <c r="B71" s="269"/>
      <c r="C71" s="269"/>
      <c r="D71" s="269"/>
      <c r="E71" s="269"/>
      <c r="F71" s="269"/>
      <c r="G71" s="269"/>
      <c r="H71" s="269"/>
      <c r="I71" s="269"/>
      <c r="J71" s="269"/>
      <c r="K71" s="269"/>
    </row>
    <row r="72" spans="1:11" s="51" customFormat="1" ht="18" x14ac:dyDescent="0.35">
      <c r="A72" s="268"/>
      <c r="B72" s="268"/>
      <c r="C72" s="268"/>
      <c r="D72" s="268"/>
      <c r="E72" s="268"/>
      <c r="F72" s="268"/>
      <c r="G72" s="268"/>
      <c r="H72" s="268"/>
      <c r="I72" s="268"/>
      <c r="J72" s="268"/>
      <c r="K72" s="268"/>
    </row>
    <row r="73" spans="1:11" s="51" customFormat="1" ht="29.15" customHeight="1" x14ac:dyDescent="0.35">
      <c r="A73" s="186"/>
      <c r="B73" s="186"/>
      <c r="C73" s="94"/>
      <c r="D73" s="94"/>
      <c r="E73" s="186"/>
      <c r="F73" s="90"/>
      <c r="G73" s="112"/>
      <c r="H73" s="166"/>
      <c r="I73" s="94"/>
      <c r="J73" s="94"/>
      <c r="K73" s="94"/>
    </row>
    <row r="74" spans="1:11" s="51" customFormat="1" ht="29.15" customHeight="1" x14ac:dyDescent="0.35">
      <c r="A74" s="40"/>
      <c r="B74" s="107"/>
      <c r="C74" s="129"/>
      <c r="D74" s="129"/>
      <c r="E74" s="103"/>
      <c r="F74" s="90"/>
      <c r="G74" s="112"/>
      <c r="H74" s="167"/>
      <c r="I74" s="111"/>
      <c r="J74" s="110"/>
      <c r="K74" s="101"/>
    </row>
    <row r="75" spans="1:11" s="51" customFormat="1" ht="47.25" customHeight="1" x14ac:dyDescent="0.35">
      <c r="A75" s="40"/>
      <c r="B75" s="107"/>
      <c r="C75" s="129"/>
      <c r="D75" s="129"/>
      <c r="E75" s="103"/>
      <c r="F75" s="90"/>
      <c r="G75" s="112"/>
      <c r="H75" s="167"/>
      <c r="I75" s="111"/>
      <c r="J75" s="110"/>
      <c r="K75" s="101"/>
    </row>
    <row r="76" spans="1:11" s="97" customFormat="1" x14ac:dyDescent="0.35">
      <c r="A76" s="114"/>
      <c r="B76" s="114"/>
      <c r="C76" s="114"/>
      <c r="D76" s="114"/>
      <c r="E76" s="188"/>
      <c r="F76" s="106"/>
      <c r="G76" s="106"/>
      <c r="H76" s="160"/>
      <c r="I76" s="114"/>
      <c r="J76" s="40"/>
      <c r="K76" s="51"/>
    </row>
    <row r="77" spans="1:11" s="97" customFormat="1" ht="18" x14ac:dyDescent="0.35">
      <c r="A77" s="116"/>
      <c r="B77" s="114"/>
      <c r="C77" s="114"/>
      <c r="D77" s="114"/>
      <c r="E77" s="188"/>
      <c r="F77" s="51"/>
      <c r="G77" s="188"/>
      <c r="H77" s="164"/>
      <c r="I77" s="40"/>
      <c r="J77" s="40"/>
      <c r="K77" s="51"/>
    </row>
    <row r="78" spans="1:11" x14ac:dyDescent="0.35">
      <c r="A78" s="122"/>
      <c r="B78" s="114"/>
      <c r="C78" s="114"/>
      <c r="D78" s="114"/>
      <c r="E78" s="188"/>
      <c r="F78" s="51"/>
      <c r="G78" s="188"/>
      <c r="H78" s="168"/>
      <c r="I78" s="40"/>
      <c r="J78" s="40"/>
      <c r="K78" s="51"/>
    </row>
    <row r="79" spans="1:11" ht="18" x14ac:dyDescent="0.35">
      <c r="A79" s="117"/>
      <c r="B79" s="118"/>
      <c r="C79" s="118"/>
      <c r="D79" s="118"/>
      <c r="E79" s="186"/>
      <c r="F79" s="47"/>
      <c r="G79" s="186"/>
      <c r="H79" s="169"/>
      <c r="I79" s="40"/>
      <c r="J79" s="40"/>
      <c r="K79" s="51"/>
    </row>
    <row r="80" spans="1:11" ht="18" x14ac:dyDescent="0.35">
      <c r="A80" s="97"/>
      <c r="B80" s="119"/>
      <c r="C80" s="120"/>
      <c r="D80" s="120"/>
      <c r="E80" s="96"/>
      <c r="F80" s="97"/>
      <c r="G80" s="96"/>
      <c r="H80" s="170"/>
      <c r="I80" s="95"/>
      <c r="J80" s="95"/>
      <c r="K80" s="97"/>
    </row>
    <row r="81" spans="1:11" ht="18" x14ac:dyDescent="0.35">
      <c r="A81" s="284"/>
      <c r="B81" s="284"/>
      <c r="C81" s="284"/>
      <c r="D81" s="284"/>
      <c r="E81" s="284"/>
      <c r="F81" s="284"/>
      <c r="G81" s="284"/>
      <c r="H81" s="284"/>
      <c r="I81" s="95"/>
      <c r="J81" s="95"/>
      <c r="K81" s="97"/>
    </row>
    <row r="84" spans="1:11" s="61" customFormat="1" x14ac:dyDescent="0.35">
      <c r="A84" s="29"/>
      <c r="E84" s="62"/>
      <c r="F84" s="29"/>
      <c r="G84" s="60"/>
      <c r="H84" s="163"/>
      <c r="K84" s="29"/>
    </row>
    <row r="86" spans="1:11" s="61" customFormat="1" x14ac:dyDescent="0.35">
      <c r="A86" s="29"/>
      <c r="E86" s="62"/>
      <c r="F86" s="29"/>
      <c r="G86" s="63"/>
      <c r="H86" s="163"/>
      <c r="I86" s="64"/>
      <c r="K86" s="29"/>
    </row>
  </sheetData>
  <mergeCells count="20">
    <mergeCell ref="A53:K53"/>
    <mergeCell ref="A1:H1"/>
    <mergeCell ref="A8:K8"/>
    <mergeCell ref="A9:K9"/>
    <mergeCell ref="A10:K10"/>
    <mergeCell ref="A11:K11"/>
    <mergeCell ref="A34:K34"/>
    <mergeCell ref="A35:K35"/>
    <mergeCell ref="A40:K40"/>
    <mergeCell ref="A41:K41"/>
    <mergeCell ref="A47:K47"/>
    <mergeCell ref="A48:K48"/>
    <mergeCell ref="A72:K72"/>
    <mergeCell ref="A81:H81"/>
    <mergeCell ref="A54:K54"/>
    <mergeCell ref="F56:G56"/>
    <mergeCell ref="A61:K61"/>
    <mergeCell ref="A62:K62"/>
    <mergeCell ref="A68:H68"/>
    <mergeCell ref="A71:K71"/>
  </mergeCells>
  <pageMargins left="0.7" right="0.7" top="0.75" bottom="0.75" header="0.3" footer="0.3"/>
  <pageSetup paperSize="8" scale="51" orientation="landscape" r:id="rId1"/>
  <rowBreaks count="1" manualBreakCount="1">
    <brk id="3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vt:lpstr>
      <vt:lpstr>Prog 1-Administration</vt:lpstr>
      <vt:lpstr>Prog 2-Legal, Auth &amp; Compl</vt:lpstr>
      <vt:lpstr>Prog 3-Ocean &amp;Coasts</vt:lpstr>
      <vt:lpstr>Prog4-Climate Chng&amp;Air Quality </vt:lpstr>
      <vt:lpstr>Prog5-Bioderv&amp;Conservation</vt:lpstr>
      <vt:lpstr>Prog6-Environmental Programmes</vt:lpstr>
      <vt:lpstr>Prog7-Chemica&amp;Waste</vt:lpstr>
      <vt:lpstr>'Prog 1-Administration'!Print_Area</vt:lpstr>
      <vt:lpstr>'Prog4-Climate Chng&amp;Air Quality '!Print_Area</vt:lpstr>
      <vt:lpstr>'Prog5-Bioderv&amp;Conservation'!Print_Area</vt:lpstr>
      <vt:lpstr>'Prog6-Environmental Programmes'!Print_Area</vt:lpstr>
      <vt:lpstr>'Prog7-Chemica&amp;Waste'!Print_Area</vt:lpstr>
      <vt:lpstr>Summary!Print_Area</vt:lpstr>
      <vt:lpstr>'Prog 1-Administration'!Print_Titles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TCarrol</dc:creator>
  <cp:lastModifiedBy>Buyiswa Ndibongo</cp:lastModifiedBy>
  <cp:lastPrinted>2018-05-08T12:27:20Z</cp:lastPrinted>
  <dcterms:created xsi:type="dcterms:W3CDTF">2010-10-04T11:36:55Z</dcterms:created>
  <dcterms:modified xsi:type="dcterms:W3CDTF">2018-05-18T06:28:50Z</dcterms:modified>
</cp:coreProperties>
</file>