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N263E\Desktop\Office of CEO\Portfolio Committee\SCOF Appearance\13 September 2017\"/>
    </mc:Choice>
  </mc:AlternateContent>
  <bookViews>
    <workbookView xWindow="0" yWindow="0" windowWidth="23040" windowHeight="8850" firstSheet="1" activeTab="1"/>
  </bookViews>
  <sheets>
    <sheet name="Staff movement" sheetId="6" state="hidden" r:id="rId1"/>
    <sheet name="Mango Headcount" sheetId="1" r:id="rId2"/>
  </sheets>
  <definedNames>
    <definedName name="_xlnm._FilterDatabase" localSheetId="1" hidden="1">'Mango Headcount'!#REF!</definedName>
  </definedNames>
  <calcPr calcId="162913"/>
</workbook>
</file>

<file path=xl/calcChain.xml><?xml version="1.0" encoding="utf-8"?>
<calcChain xmlns="http://schemas.openxmlformats.org/spreadsheetml/2006/main">
  <c r="B85" i="1" l="1"/>
  <c r="A1415" i="6" l="1"/>
  <c r="A1413" i="6"/>
  <c r="A1411" i="6"/>
  <c r="A1409" i="6"/>
  <c r="A1407" i="6"/>
  <c r="A1405" i="6"/>
  <c r="A1403" i="6"/>
  <c r="A1401" i="6"/>
  <c r="A1399" i="6"/>
  <c r="A1397" i="6"/>
  <c r="A1395" i="6"/>
  <c r="A1393" i="6"/>
  <c r="A1391" i="6"/>
  <c r="A1389" i="6"/>
  <c r="A1387" i="6"/>
  <c r="A1385" i="6"/>
  <c r="A1383" i="6"/>
  <c r="A1381" i="6"/>
  <c r="A1379" i="6"/>
  <c r="A1377" i="6"/>
  <c r="A1375" i="6"/>
  <c r="A1373" i="6"/>
  <c r="A1371" i="6"/>
  <c r="A1369" i="6"/>
  <c r="A1367" i="6"/>
  <c r="A1365" i="6"/>
  <c r="A1363" i="6"/>
  <c r="A1361" i="6"/>
  <c r="A1359" i="6"/>
  <c r="A1357" i="6"/>
  <c r="A1355" i="6"/>
  <c r="A1353" i="6"/>
  <c r="A1351" i="6"/>
  <c r="A1349" i="6"/>
  <c r="A1347" i="6"/>
  <c r="A1345" i="6"/>
  <c r="A1343" i="6"/>
  <c r="A1341" i="6"/>
  <c r="A1339" i="6"/>
  <c r="A1337" i="6"/>
  <c r="A1335" i="6"/>
  <c r="A1333" i="6"/>
  <c r="A1331" i="6"/>
  <c r="A1329" i="6"/>
  <c r="A1327" i="6"/>
  <c r="A1325" i="6"/>
  <c r="A1323" i="6"/>
  <c r="A1321" i="6"/>
  <c r="A1319" i="6"/>
  <c r="A1317" i="6"/>
  <c r="A1315" i="6"/>
  <c r="A1313" i="6"/>
  <c r="A1311" i="6"/>
  <c r="A1309" i="6"/>
  <c r="A1307" i="6"/>
  <c r="A1305" i="6"/>
  <c r="A1303" i="6"/>
  <c r="A1301" i="6"/>
  <c r="A1299" i="6"/>
  <c r="A1297" i="6"/>
  <c r="A1295" i="6"/>
  <c r="A1293" i="6"/>
  <c r="A1291" i="6"/>
  <c r="A1289" i="6"/>
  <c r="A1287" i="6"/>
  <c r="A1285" i="6"/>
  <c r="A1283" i="6"/>
  <c r="A1281" i="6"/>
  <c r="A1279" i="6"/>
  <c r="A1277" i="6"/>
  <c r="A1275" i="6"/>
  <c r="A1273" i="6"/>
  <c r="A1271" i="6"/>
  <c r="A1269" i="6"/>
  <c r="A1267" i="6"/>
  <c r="A1265" i="6"/>
  <c r="A1263" i="6"/>
  <c r="A1261" i="6"/>
  <c r="A1259" i="6"/>
  <c r="A1257" i="6"/>
  <c r="A1255" i="6"/>
  <c r="A1253" i="6"/>
  <c r="A1251" i="6"/>
  <c r="A1249" i="6"/>
  <c r="A1247" i="6"/>
  <c r="A1245" i="6"/>
  <c r="A1243" i="6"/>
  <c r="A1241" i="6"/>
  <c r="A1239" i="6"/>
  <c r="A1237" i="6"/>
  <c r="A1235" i="6"/>
  <c r="A1233" i="6"/>
  <c r="A1231" i="6"/>
  <c r="A1229" i="6"/>
  <c r="A1227" i="6"/>
  <c r="A1225" i="6"/>
  <c r="A1223" i="6"/>
  <c r="A1221" i="6"/>
  <c r="A1219" i="6"/>
  <c r="A1217" i="6"/>
  <c r="A1215" i="6"/>
  <c r="A1213" i="6"/>
  <c r="A1211" i="6"/>
  <c r="A1209" i="6"/>
  <c r="A1207" i="6"/>
  <c r="A1205" i="6"/>
  <c r="A1203" i="6"/>
  <c r="A1201" i="6"/>
  <c r="A1199" i="6"/>
  <c r="A1197" i="6"/>
  <c r="A1195" i="6"/>
  <c r="A1193" i="6"/>
  <c r="A1191" i="6"/>
  <c r="A1189" i="6"/>
  <c r="A1187" i="6"/>
  <c r="A1185" i="6"/>
  <c r="A1183" i="6"/>
  <c r="A1181" i="6"/>
  <c r="A1179" i="6"/>
  <c r="A1177" i="6"/>
  <c r="A1175" i="6"/>
  <c r="A1173" i="6"/>
  <c r="A1171" i="6"/>
  <c r="A1169" i="6"/>
  <c r="A1167" i="6"/>
  <c r="A1165" i="6"/>
  <c r="A1163" i="6"/>
  <c r="A1161" i="6"/>
  <c r="A1159" i="6"/>
  <c r="A1157" i="6"/>
  <c r="A1155" i="6"/>
  <c r="A1153" i="6"/>
  <c r="A1151" i="6"/>
  <c r="A1149" i="6"/>
  <c r="A1147" i="6"/>
  <c r="A1145" i="6"/>
  <c r="A1143" i="6"/>
  <c r="A1141" i="6"/>
  <c r="A1139" i="6"/>
  <c r="A1137" i="6"/>
  <c r="A1135" i="6"/>
  <c r="A1133" i="6"/>
  <c r="A1131" i="6"/>
  <c r="A1129" i="6"/>
  <c r="A1127" i="6"/>
  <c r="A1125" i="6"/>
  <c r="A1123" i="6"/>
  <c r="A1121" i="6"/>
  <c r="A1119" i="6"/>
  <c r="A1117" i="6"/>
  <c r="A1115" i="6"/>
  <c r="A1113" i="6"/>
  <c r="A1111" i="6"/>
  <c r="A1109" i="6"/>
  <c r="A1107" i="6"/>
  <c r="A1105" i="6"/>
  <c r="A1103" i="6"/>
  <c r="A1101" i="6"/>
  <c r="A1099" i="6"/>
  <c r="A1097" i="6"/>
  <c r="A1095" i="6"/>
  <c r="A1093" i="6"/>
  <c r="A1091" i="6"/>
  <c r="A1089" i="6"/>
  <c r="A1087" i="6"/>
  <c r="A1085" i="6"/>
  <c r="A1083" i="6"/>
  <c r="A1081" i="6"/>
  <c r="A1079" i="6"/>
  <c r="A1077" i="6"/>
  <c r="A1075" i="6"/>
  <c r="A1073" i="6"/>
  <c r="A1071" i="6"/>
  <c r="A1069" i="6"/>
  <c r="A1067" i="6"/>
  <c r="A1065" i="6"/>
  <c r="A1063" i="6"/>
  <c r="A1061" i="6"/>
  <c r="A1059" i="6"/>
  <c r="A1057" i="6"/>
  <c r="A1055" i="6"/>
  <c r="A1053" i="6"/>
  <c r="A1051" i="6"/>
  <c r="A1049" i="6"/>
  <c r="A1047" i="6"/>
  <c r="A1045" i="6"/>
  <c r="A1043" i="6"/>
  <c r="A1041" i="6"/>
  <c r="A1039" i="6"/>
  <c r="A1037" i="6"/>
  <c r="A1035" i="6"/>
  <c r="A1033" i="6"/>
  <c r="A1031" i="6"/>
  <c r="A1029" i="6"/>
  <c r="A1027" i="6"/>
  <c r="A1025" i="6"/>
  <c r="A1023" i="6"/>
  <c r="A1021" i="6"/>
  <c r="A1019" i="6"/>
  <c r="A1017" i="6"/>
  <c r="A1015" i="6"/>
  <c r="A1013" i="6"/>
  <c r="A1011" i="6"/>
  <c r="A1009" i="6"/>
  <c r="A1007" i="6"/>
  <c r="A1005" i="6"/>
  <c r="A1003" i="6"/>
  <c r="A1001" i="6"/>
  <c r="A999" i="6"/>
  <c r="A997" i="6"/>
  <c r="A995" i="6"/>
  <c r="A993" i="6"/>
  <c r="A991" i="6"/>
  <c r="A989" i="6"/>
  <c r="A987" i="6"/>
  <c r="A985" i="6"/>
  <c r="A983" i="6"/>
  <c r="A981" i="6"/>
  <c r="A979" i="6"/>
  <c r="A977" i="6"/>
  <c r="A975" i="6"/>
  <c r="A973" i="6"/>
  <c r="A971" i="6"/>
  <c r="A969" i="6"/>
  <c r="A967" i="6"/>
  <c r="A965" i="6"/>
  <c r="A963" i="6"/>
  <c r="A961" i="6"/>
  <c r="A959" i="6"/>
  <c r="A957" i="6"/>
  <c r="A955" i="6"/>
  <c r="A953" i="6"/>
  <c r="A951" i="6"/>
  <c r="A949" i="6"/>
  <c r="A947" i="6"/>
  <c r="A945" i="6"/>
  <c r="A943" i="6"/>
  <c r="A941" i="6"/>
  <c r="A939" i="6"/>
  <c r="A937" i="6"/>
  <c r="A935" i="6"/>
  <c r="A933" i="6"/>
  <c r="A931" i="6"/>
  <c r="A929" i="6"/>
  <c r="A927" i="6"/>
  <c r="A925" i="6"/>
  <c r="A923" i="6"/>
  <c r="A921" i="6"/>
  <c r="A919" i="6"/>
  <c r="A917" i="6"/>
  <c r="A915" i="6"/>
  <c r="A913" i="6"/>
  <c r="A911" i="6"/>
  <c r="A909" i="6"/>
  <c r="A907" i="6"/>
  <c r="A905" i="6"/>
  <c r="A903" i="6"/>
  <c r="A901" i="6"/>
  <c r="A899" i="6"/>
  <c r="A897" i="6"/>
  <c r="A895" i="6"/>
  <c r="A893" i="6"/>
  <c r="A891" i="6"/>
  <c r="A889" i="6"/>
  <c r="A887" i="6"/>
  <c r="A885" i="6"/>
  <c r="A883" i="6"/>
  <c r="A881" i="6"/>
  <c r="A879" i="6"/>
  <c r="A877" i="6"/>
  <c r="A875" i="6"/>
  <c r="A873" i="6"/>
  <c r="A871" i="6"/>
  <c r="A869" i="6"/>
  <c r="A867" i="6"/>
  <c r="A865" i="6"/>
  <c r="A863" i="6"/>
  <c r="A861" i="6"/>
  <c r="A859" i="6"/>
  <c r="A857" i="6"/>
  <c r="A855" i="6"/>
  <c r="A853" i="6"/>
  <c r="A851" i="6"/>
  <c r="A849" i="6"/>
  <c r="A847" i="6"/>
  <c r="A845" i="6"/>
  <c r="A843" i="6"/>
  <c r="A841" i="6"/>
  <c r="A839" i="6"/>
  <c r="A837" i="6"/>
  <c r="A835" i="6"/>
  <c r="A833" i="6"/>
  <c r="A831" i="6"/>
  <c r="A829" i="6"/>
  <c r="A827" i="6"/>
  <c r="A825" i="6"/>
  <c r="A823" i="6"/>
  <c r="A821" i="6"/>
  <c r="A819" i="6"/>
  <c r="A817" i="6"/>
  <c r="A815" i="6"/>
  <c r="A813" i="6"/>
  <c r="A811" i="6"/>
  <c r="A809" i="6"/>
  <c r="A807" i="6"/>
  <c r="A805" i="6"/>
  <c r="A803" i="6"/>
  <c r="A801" i="6"/>
  <c r="A799" i="6"/>
  <c r="A797" i="6"/>
  <c r="A795" i="6"/>
  <c r="A793" i="6"/>
  <c r="A791" i="6"/>
  <c r="A789" i="6"/>
  <c r="A787" i="6"/>
  <c r="A785" i="6"/>
  <c r="A783" i="6"/>
  <c r="A781" i="6"/>
  <c r="A779" i="6"/>
  <c r="A777" i="6"/>
  <c r="A775" i="6"/>
  <c r="A773" i="6"/>
  <c r="A771" i="6"/>
  <c r="A769" i="6"/>
  <c r="A767" i="6"/>
  <c r="A765" i="6"/>
  <c r="A763" i="6"/>
  <c r="A761" i="6"/>
  <c r="A759" i="6"/>
  <c r="A757" i="6"/>
  <c r="A755" i="6"/>
  <c r="A753" i="6"/>
  <c r="A751" i="6"/>
  <c r="A749" i="6"/>
  <c r="A747" i="6"/>
  <c r="A745" i="6"/>
  <c r="A743" i="6"/>
  <c r="A741" i="6"/>
  <c r="A739" i="6"/>
  <c r="A737" i="6"/>
  <c r="A735" i="6"/>
  <c r="A733" i="6"/>
  <c r="A731" i="6"/>
  <c r="A729" i="6"/>
  <c r="A727" i="6"/>
  <c r="A725" i="6"/>
  <c r="A723" i="6"/>
  <c r="A721" i="6"/>
  <c r="A719" i="6"/>
  <c r="A717" i="6"/>
  <c r="A715" i="6"/>
  <c r="A713" i="6"/>
  <c r="A711" i="6"/>
  <c r="A709" i="6"/>
  <c r="A707" i="6"/>
  <c r="A705" i="6"/>
  <c r="A703" i="6"/>
  <c r="A701" i="6"/>
  <c r="A699" i="6"/>
  <c r="A697" i="6"/>
  <c r="A695" i="6"/>
  <c r="A693" i="6"/>
  <c r="A691" i="6"/>
  <c r="A689" i="6"/>
  <c r="A687" i="6"/>
  <c r="A685" i="6"/>
  <c r="A683" i="6"/>
  <c r="A681" i="6"/>
  <c r="A679" i="6"/>
  <c r="A677" i="6"/>
  <c r="A675" i="6"/>
  <c r="A673" i="6"/>
  <c r="A671" i="6"/>
  <c r="A669" i="6"/>
  <c r="A667" i="6"/>
  <c r="A665" i="6"/>
  <c r="A663" i="6"/>
  <c r="A661" i="6"/>
  <c r="A659" i="6"/>
  <c r="A657" i="6"/>
  <c r="A655" i="6"/>
  <c r="A653" i="6"/>
  <c r="A651" i="6"/>
  <c r="A649" i="6"/>
  <c r="A647" i="6"/>
  <c r="A645" i="6"/>
  <c r="A643" i="6"/>
  <c r="A641" i="6"/>
  <c r="A639" i="6"/>
  <c r="A637" i="6"/>
  <c r="A635" i="6"/>
  <c r="A633" i="6"/>
  <c r="A631" i="6"/>
  <c r="A629" i="6"/>
  <c r="A627" i="6"/>
  <c r="A625" i="6"/>
  <c r="A623" i="6"/>
  <c r="A621" i="6"/>
  <c r="A619" i="6"/>
  <c r="A617" i="6"/>
  <c r="A615" i="6"/>
  <c r="A613" i="6"/>
  <c r="A611" i="6"/>
  <c r="A609" i="6"/>
  <c r="A607" i="6"/>
  <c r="A605" i="6"/>
  <c r="A603" i="6"/>
  <c r="A601" i="6"/>
  <c r="A599" i="6"/>
  <c r="A597" i="6"/>
  <c r="A595" i="6"/>
  <c r="A593" i="6"/>
  <c r="A591" i="6"/>
  <c r="A589" i="6"/>
  <c r="A587" i="6"/>
  <c r="A585" i="6"/>
  <c r="A583" i="6"/>
  <c r="A581" i="6"/>
  <c r="A579" i="6"/>
  <c r="A577" i="6"/>
  <c r="A575" i="6"/>
  <c r="A573" i="6"/>
  <c r="A571" i="6"/>
  <c r="A569" i="6"/>
  <c r="A567" i="6"/>
  <c r="A565" i="6"/>
  <c r="A563" i="6"/>
  <c r="A561" i="6"/>
  <c r="A559" i="6"/>
  <c r="A557" i="6"/>
  <c r="A555" i="6"/>
  <c r="A553" i="6"/>
  <c r="A551" i="6"/>
  <c r="A549" i="6"/>
  <c r="A547" i="6"/>
  <c r="A545" i="6"/>
  <c r="A543" i="6"/>
  <c r="A541" i="6"/>
  <c r="A539" i="6"/>
  <c r="A537" i="6"/>
  <c r="A535" i="6"/>
  <c r="A533" i="6"/>
  <c r="A531" i="6"/>
  <c r="A529" i="6"/>
  <c r="A527" i="6"/>
  <c r="A525" i="6"/>
  <c r="A523" i="6"/>
  <c r="A521" i="6"/>
  <c r="A519" i="6"/>
  <c r="A517" i="6"/>
  <c r="A515" i="6"/>
  <c r="A513" i="6"/>
  <c r="A511" i="6"/>
  <c r="A509" i="6"/>
  <c r="A507" i="6"/>
  <c r="A505" i="6"/>
  <c r="A503" i="6"/>
  <c r="A501" i="6"/>
  <c r="A499" i="6"/>
  <c r="A497" i="6"/>
  <c r="A495" i="6"/>
  <c r="A493" i="6"/>
  <c r="A491" i="6"/>
  <c r="A489" i="6"/>
  <c r="A487" i="6"/>
  <c r="A485" i="6"/>
  <c r="A483" i="6"/>
  <c r="A481" i="6"/>
  <c r="A479" i="6"/>
  <c r="A477" i="6"/>
  <c r="A475" i="6"/>
  <c r="A473" i="6"/>
  <c r="A471" i="6"/>
  <c r="A469" i="6"/>
  <c r="A467" i="6"/>
  <c r="A465" i="6"/>
  <c r="A463" i="6"/>
  <c r="A461" i="6"/>
  <c r="A459" i="6"/>
  <c r="A457" i="6"/>
  <c r="A455" i="6"/>
  <c r="A453" i="6"/>
  <c r="A451" i="6"/>
  <c r="A449" i="6"/>
  <c r="A447" i="6"/>
  <c r="A445" i="6"/>
  <c r="A443" i="6"/>
  <c r="A441" i="6"/>
  <c r="A439" i="6"/>
  <c r="A437" i="6"/>
  <c r="A435" i="6"/>
  <c r="A433" i="6"/>
  <c r="A431" i="6"/>
  <c r="A429" i="6"/>
  <c r="A427" i="6"/>
  <c r="A425" i="6"/>
  <c r="A423" i="6"/>
  <c r="A421" i="6"/>
  <c r="A419" i="6"/>
  <c r="A417" i="6"/>
  <c r="A415" i="6"/>
  <c r="A413" i="6"/>
  <c r="A411" i="6"/>
  <c r="A409" i="6"/>
  <c r="A407" i="6"/>
  <c r="A405" i="6"/>
  <c r="A403" i="6"/>
  <c r="A401" i="6"/>
  <c r="A399" i="6"/>
  <c r="A397" i="6"/>
  <c r="A395" i="6"/>
  <c r="A393" i="6"/>
  <c r="A391" i="6"/>
  <c r="A389" i="6"/>
  <c r="A387" i="6"/>
  <c r="A385" i="6"/>
  <c r="A383" i="6"/>
  <c r="A381" i="6"/>
  <c r="A379" i="6"/>
  <c r="A377" i="6"/>
  <c r="A375" i="6"/>
  <c r="A373" i="6"/>
  <c r="A371" i="6"/>
  <c r="A369" i="6"/>
  <c r="A367" i="6"/>
  <c r="A365" i="6"/>
  <c r="A363" i="6"/>
  <c r="A361" i="6"/>
  <c r="A359" i="6"/>
  <c r="A357" i="6"/>
  <c r="A355" i="6"/>
  <c r="A353" i="6"/>
  <c r="A351" i="6"/>
  <c r="A349" i="6"/>
  <c r="A347" i="6"/>
  <c r="A345" i="6"/>
  <c r="A343" i="6"/>
  <c r="A341" i="6"/>
  <c r="A339" i="6"/>
  <c r="A337" i="6"/>
  <c r="A335" i="6"/>
  <c r="A333" i="6"/>
  <c r="A331" i="6"/>
  <c r="A329" i="6"/>
  <c r="A327" i="6"/>
  <c r="A325" i="6"/>
  <c r="A323" i="6"/>
  <c r="A321" i="6"/>
  <c r="A319" i="6"/>
  <c r="A317" i="6"/>
  <c r="A315" i="6"/>
  <c r="A313" i="6"/>
  <c r="A311" i="6"/>
  <c r="A309" i="6"/>
  <c r="A307" i="6"/>
  <c r="A305" i="6"/>
  <c r="A303" i="6"/>
  <c r="A301" i="6"/>
  <c r="A299" i="6"/>
  <c r="A297" i="6"/>
  <c r="A295" i="6"/>
  <c r="A293" i="6"/>
  <c r="A291" i="6"/>
  <c r="A289" i="6"/>
  <c r="A287" i="6"/>
  <c r="A285" i="6"/>
  <c r="A283" i="6"/>
  <c r="A281" i="6"/>
  <c r="A279" i="6"/>
  <c r="A277" i="6"/>
  <c r="A275" i="6"/>
  <c r="A273" i="6"/>
  <c r="A271" i="6"/>
  <c r="A269" i="6"/>
  <c r="A267" i="6"/>
  <c r="A265" i="6"/>
  <c r="A263" i="6"/>
  <c r="A261" i="6"/>
  <c r="A259" i="6"/>
  <c r="A257" i="6"/>
  <c r="A255" i="6"/>
  <c r="A253" i="6"/>
  <c r="A251" i="6"/>
  <c r="A249" i="6"/>
  <c r="A247" i="6"/>
  <c r="A245" i="6"/>
  <c r="A243" i="6"/>
  <c r="A241" i="6"/>
  <c r="A239" i="6"/>
  <c r="A237" i="6"/>
  <c r="A235" i="6"/>
  <c r="A233" i="6"/>
  <c r="A231" i="6"/>
  <c r="A229" i="6"/>
  <c r="A227" i="6"/>
  <c r="A225" i="6"/>
  <c r="A223" i="6"/>
  <c r="A221" i="6"/>
  <c r="A219" i="6"/>
  <c r="A217" i="6"/>
  <c r="A215" i="6"/>
  <c r="A213" i="6"/>
  <c r="A211" i="6"/>
  <c r="A209" i="6"/>
  <c r="A207" i="6"/>
  <c r="A205" i="6"/>
  <c r="A203" i="6"/>
  <c r="A201" i="6"/>
  <c r="A199" i="6"/>
  <c r="A197" i="6"/>
  <c r="A195" i="6"/>
  <c r="A193" i="6"/>
  <c r="A191" i="6"/>
  <c r="A189" i="6"/>
  <c r="A187" i="6"/>
  <c r="A185" i="6"/>
  <c r="A183" i="6"/>
  <c r="A181" i="6"/>
  <c r="A179" i="6"/>
  <c r="A177" i="6"/>
  <c r="A175" i="6"/>
  <c r="A173" i="6"/>
  <c r="A171" i="6"/>
  <c r="A169" i="6"/>
  <c r="A167" i="6"/>
  <c r="A165" i="6"/>
  <c r="A163" i="6"/>
  <c r="A161" i="6"/>
  <c r="A159" i="6"/>
  <c r="A157" i="6"/>
  <c r="A155" i="6"/>
  <c r="A153" i="6"/>
  <c r="A151" i="6"/>
  <c r="A149" i="6"/>
  <c r="A147" i="6"/>
  <c r="A145" i="6"/>
  <c r="A143" i="6"/>
  <c r="A141" i="6"/>
  <c r="A139" i="6"/>
  <c r="A137" i="6"/>
  <c r="A135" i="6"/>
  <c r="A133" i="6"/>
  <c r="A131" i="6"/>
  <c r="A129" i="6"/>
  <c r="A127" i="6"/>
  <c r="A125" i="6"/>
  <c r="A123" i="6"/>
  <c r="A121" i="6"/>
  <c r="A119" i="6"/>
  <c r="A117" i="6"/>
  <c r="A115" i="6"/>
  <c r="A113" i="6"/>
  <c r="A111" i="6"/>
  <c r="A109" i="6"/>
  <c r="A107" i="6"/>
  <c r="A105" i="6"/>
  <c r="A103" i="6"/>
  <c r="A101" i="6"/>
  <c r="A99" i="6"/>
  <c r="A97" i="6"/>
  <c r="A95" i="6"/>
  <c r="A93" i="6"/>
  <c r="A91" i="6"/>
  <c r="A89" i="6"/>
  <c r="A87" i="6"/>
  <c r="A85" i="6"/>
  <c r="A83" i="6"/>
  <c r="A81" i="6"/>
  <c r="A79" i="6"/>
  <c r="A77" i="6"/>
  <c r="A75" i="6"/>
  <c r="A73" i="6"/>
  <c r="A71" i="6"/>
  <c r="A69" i="6"/>
  <c r="A67" i="6"/>
  <c r="A65" i="6"/>
  <c r="A63" i="6"/>
  <c r="A61" i="6"/>
  <c r="A59" i="6"/>
  <c r="A57" i="6"/>
  <c r="A55" i="6"/>
  <c r="A53" i="6"/>
  <c r="A51" i="6"/>
  <c r="A49" i="6"/>
  <c r="A47" i="6"/>
  <c r="A45" i="6"/>
  <c r="A43" i="6"/>
  <c r="A41" i="6"/>
  <c r="A39" i="6"/>
  <c r="A37" i="6"/>
  <c r="A35" i="6"/>
  <c r="A33" i="6"/>
  <c r="A31" i="6"/>
  <c r="A29" i="6"/>
  <c r="A27" i="6"/>
  <c r="A25" i="6"/>
  <c r="A23" i="6"/>
  <c r="A21" i="6"/>
  <c r="A19" i="6"/>
  <c r="A17" i="6"/>
  <c r="A15" i="6"/>
  <c r="A13" i="6"/>
  <c r="A11" i="6"/>
  <c r="A9" i="6"/>
  <c r="A7" i="6"/>
</calcChain>
</file>

<file path=xl/sharedStrings.xml><?xml version="1.0" encoding="utf-8"?>
<sst xmlns="http://schemas.openxmlformats.org/spreadsheetml/2006/main" count="16998" uniqueCount="4365">
  <si>
    <t>Employee Code</t>
  </si>
  <si>
    <t>Entity Code</t>
  </si>
  <si>
    <t>Date Engaged</t>
  </si>
  <si>
    <t>Job Title</t>
  </si>
  <si>
    <t>Company Rule</t>
  </si>
  <si>
    <t>Termination Date</t>
  </si>
  <si>
    <t>Termination Reason</t>
  </si>
  <si>
    <t>_M01179</t>
  </si>
  <si>
    <t>C01 - Cabin Crew Member</t>
  </si>
  <si>
    <t>A - Active</t>
  </si>
  <si>
    <t>M00006</t>
  </si>
  <si>
    <t>H09 - HOD Quality and Compliance</t>
  </si>
  <si>
    <t>M00010</t>
  </si>
  <si>
    <t>C07 - Captain</t>
  </si>
  <si>
    <t>M00020</t>
  </si>
  <si>
    <t>C14 - Corporate Sales Co-Ordinator</t>
  </si>
  <si>
    <t>M00024</t>
  </si>
  <si>
    <t>G07 - Guest Services Team Leader</t>
  </si>
  <si>
    <t>M00025</t>
  </si>
  <si>
    <t>M02 - Marketing Co-Ordinator</t>
  </si>
  <si>
    <t>M00029</t>
  </si>
  <si>
    <t>S01 - Safety Officer</t>
  </si>
  <si>
    <t>M00036</t>
  </si>
  <si>
    <t>M00039</t>
  </si>
  <si>
    <t>M00041</t>
  </si>
  <si>
    <t>G06 - Guest Services Agent</t>
  </si>
  <si>
    <t>M00042</t>
  </si>
  <si>
    <t>F02 - Financial and Admin Officer</t>
  </si>
  <si>
    <t>M00048</t>
  </si>
  <si>
    <t>M00049</t>
  </si>
  <si>
    <t>M00051</t>
  </si>
  <si>
    <t>M00054</t>
  </si>
  <si>
    <t>T05 - Training Co-Ordinator</t>
  </si>
  <si>
    <t>M00055</t>
  </si>
  <si>
    <t>M00057</t>
  </si>
  <si>
    <t>M00059</t>
  </si>
  <si>
    <t>M00060</t>
  </si>
  <si>
    <t>M00065</t>
  </si>
  <si>
    <t>M00066</t>
  </si>
  <si>
    <t>H16 - HR Officer</t>
  </si>
  <si>
    <t>M00068</t>
  </si>
  <si>
    <t>M00071</t>
  </si>
  <si>
    <t>M00072</t>
  </si>
  <si>
    <t>M00074</t>
  </si>
  <si>
    <t>M00076</t>
  </si>
  <si>
    <t>M00077</t>
  </si>
  <si>
    <t>J01 - Junior Q&amp;A Support Analyst</t>
  </si>
  <si>
    <t>M00082</t>
  </si>
  <si>
    <t>M00085</t>
  </si>
  <si>
    <t>H04 - HOD Flight Operations</t>
  </si>
  <si>
    <t>M00086</t>
  </si>
  <si>
    <t>T01 - Technical Assistance</t>
  </si>
  <si>
    <t>M00087</t>
  </si>
  <si>
    <t>H14 - HOD Fleet and Management</t>
  </si>
  <si>
    <t>M00088</t>
  </si>
  <si>
    <t>C10 - Check Captain</t>
  </si>
  <si>
    <t>M00090</t>
  </si>
  <si>
    <t>M00092</t>
  </si>
  <si>
    <t>M00095</t>
  </si>
  <si>
    <t>M00096</t>
  </si>
  <si>
    <t>M00100</t>
  </si>
  <si>
    <t>M00104</t>
  </si>
  <si>
    <t>M00105</t>
  </si>
  <si>
    <t>M00109</t>
  </si>
  <si>
    <t>M00115</t>
  </si>
  <si>
    <t>M00118</t>
  </si>
  <si>
    <t>M00120</t>
  </si>
  <si>
    <t>M00122</t>
  </si>
  <si>
    <t>L01 - Load Controller</t>
  </si>
  <si>
    <t>M00130</t>
  </si>
  <si>
    <t>C02 - Cabin Crew Route Checker</t>
  </si>
  <si>
    <t>M00133</t>
  </si>
  <si>
    <t>M00135</t>
  </si>
  <si>
    <t>M00138</t>
  </si>
  <si>
    <t>M00151</t>
  </si>
  <si>
    <t>A01 - Airport Manager</t>
  </si>
  <si>
    <t>M00152</t>
  </si>
  <si>
    <t>M00161</t>
  </si>
  <si>
    <t>M00162</t>
  </si>
  <si>
    <t>M00164</t>
  </si>
  <si>
    <t>M01 - Manager Operations Controller</t>
  </si>
  <si>
    <t>M00165</t>
  </si>
  <si>
    <t>M00168</t>
  </si>
  <si>
    <t>M00169</t>
  </si>
  <si>
    <t>M00171</t>
  </si>
  <si>
    <t>M00172</t>
  </si>
  <si>
    <t>M00173</t>
  </si>
  <si>
    <t>M00175</t>
  </si>
  <si>
    <t>M00176</t>
  </si>
  <si>
    <t>M00177</t>
  </si>
  <si>
    <t>M00179</t>
  </si>
  <si>
    <t>M00180</t>
  </si>
  <si>
    <t>M00181</t>
  </si>
  <si>
    <t>M00182</t>
  </si>
  <si>
    <t>M00183</t>
  </si>
  <si>
    <t>M00186</t>
  </si>
  <si>
    <t>M00187</t>
  </si>
  <si>
    <t>M00188</t>
  </si>
  <si>
    <t>M00189</t>
  </si>
  <si>
    <t>M00190</t>
  </si>
  <si>
    <t>F06 - Fraud Detection Agent</t>
  </si>
  <si>
    <t>M00193</t>
  </si>
  <si>
    <t>M00202</t>
  </si>
  <si>
    <t>M00207</t>
  </si>
  <si>
    <t>M00211</t>
  </si>
  <si>
    <t>M00212</t>
  </si>
  <si>
    <t>M00214</t>
  </si>
  <si>
    <t>M00215</t>
  </si>
  <si>
    <t xml:space="preserve">G01 - General Manager: Operations </t>
  </si>
  <si>
    <t>M00218</t>
  </si>
  <si>
    <t>M00219</t>
  </si>
  <si>
    <t>M00220</t>
  </si>
  <si>
    <t>M00221</t>
  </si>
  <si>
    <t>M00224</t>
  </si>
  <si>
    <t>H15 - HOD Security</t>
  </si>
  <si>
    <t>M00225</t>
  </si>
  <si>
    <t>O02 - Operations Controller</t>
  </si>
  <si>
    <t>M00231</t>
  </si>
  <si>
    <t>R04 - Revenue Management Analyst</t>
  </si>
  <si>
    <t>M00234</t>
  </si>
  <si>
    <t>H05 - HOD Ground Operations &amp; Scheduling</t>
  </si>
  <si>
    <t>M00236</t>
  </si>
  <si>
    <t>C15 - Crew Duty Tracker</t>
  </si>
  <si>
    <t>M00237</t>
  </si>
  <si>
    <t>M00239</t>
  </si>
  <si>
    <t>S03 - Senior Cabin Crew Member</t>
  </si>
  <si>
    <t>M00248</t>
  </si>
  <si>
    <t>M00250</t>
  </si>
  <si>
    <t>M00252</t>
  </si>
  <si>
    <t>M00254</t>
  </si>
  <si>
    <t>F05 - Flight Ops Coordinator</t>
  </si>
  <si>
    <t>M00255</t>
  </si>
  <si>
    <t>G03 - GM Commercial</t>
  </si>
  <si>
    <t>M00257</t>
  </si>
  <si>
    <t>H06 - HOD Guest Services</t>
  </si>
  <si>
    <t>M00269</t>
  </si>
  <si>
    <t>M00270</t>
  </si>
  <si>
    <t>M00271</t>
  </si>
  <si>
    <t>M00273</t>
  </si>
  <si>
    <t>M00287</t>
  </si>
  <si>
    <t>M00288</t>
  </si>
  <si>
    <t>M00292</t>
  </si>
  <si>
    <t>M00297</t>
  </si>
  <si>
    <t>M00320</t>
  </si>
  <si>
    <t>M00321</t>
  </si>
  <si>
    <t>M00326</t>
  </si>
  <si>
    <t>M00328</t>
  </si>
  <si>
    <t>Q02 - QA and Suppoert Analyst</t>
  </si>
  <si>
    <t>M00334</t>
  </si>
  <si>
    <t>M00338</t>
  </si>
  <si>
    <t>M00340</t>
  </si>
  <si>
    <t>M00341</t>
  </si>
  <si>
    <t>I03 - Industrial Relations Co-ordinator</t>
  </si>
  <si>
    <t>M00342</t>
  </si>
  <si>
    <t>M00343</t>
  </si>
  <si>
    <t>M00344</t>
  </si>
  <si>
    <t>M00347</t>
  </si>
  <si>
    <t>M00348</t>
  </si>
  <si>
    <t>M00350</t>
  </si>
  <si>
    <t>M00351</t>
  </si>
  <si>
    <t>M00352</t>
  </si>
  <si>
    <t>M00354</t>
  </si>
  <si>
    <t>M00355</t>
  </si>
  <si>
    <t>M00356</t>
  </si>
  <si>
    <t>M00358</t>
  </si>
  <si>
    <t>M00362</t>
  </si>
  <si>
    <t>M00366</t>
  </si>
  <si>
    <t>M00367</t>
  </si>
  <si>
    <t>M00368</t>
  </si>
  <si>
    <t>M00369</t>
  </si>
  <si>
    <t>M00371</t>
  </si>
  <si>
    <t>M00372</t>
  </si>
  <si>
    <t>M00374</t>
  </si>
  <si>
    <t>M00376</t>
  </si>
  <si>
    <t>M00378</t>
  </si>
  <si>
    <t>M00381</t>
  </si>
  <si>
    <t>M00383</t>
  </si>
  <si>
    <t>M00385</t>
  </si>
  <si>
    <t>M00390</t>
  </si>
  <si>
    <t>M00391</t>
  </si>
  <si>
    <t>M00395</t>
  </si>
  <si>
    <t>O01 - Office Administrator</t>
  </si>
  <si>
    <t>M00396</t>
  </si>
  <si>
    <t>R03 - Revenue Management &amp; Pricing</t>
  </si>
  <si>
    <t>M00398</t>
  </si>
  <si>
    <t>H17 - Human Resources Business Partner</t>
  </si>
  <si>
    <t>M00399</t>
  </si>
  <si>
    <t>S02 - Scheduling Manager</t>
  </si>
  <si>
    <t>M00405</t>
  </si>
  <si>
    <t>M00407</t>
  </si>
  <si>
    <t>M00410</t>
  </si>
  <si>
    <t>F01 - Financial Accountant</t>
  </si>
  <si>
    <t>M00414</t>
  </si>
  <si>
    <t>M00416</t>
  </si>
  <si>
    <t>M00417</t>
  </si>
  <si>
    <t>M00418</t>
  </si>
  <si>
    <t>M00431</t>
  </si>
  <si>
    <t>M00433</t>
  </si>
  <si>
    <t>T04 - Training Captain</t>
  </si>
  <si>
    <t>M00435</t>
  </si>
  <si>
    <t>M00440</t>
  </si>
  <si>
    <t>M00444</t>
  </si>
  <si>
    <t>C12 - Chief Training Captain</t>
  </si>
  <si>
    <t>M00445</t>
  </si>
  <si>
    <t>M00455</t>
  </si>
  <si>
    <t>M00456</t>
  </si>
  <si>
    <t>M00463</t>
  </si>
  <si>
    <t>M00466</t>
  </si>
  <si>
    <t>M00472</t>
  </si>
  <si>
    <t>M00474</t>
  </si>
  <si>
    <t>M00481</t>
  </si>
  <si>
    <t>M00488</t>
  </si>
  <si>
    <t>M00494</t>
  </si>
  <si>
    <t>M00495</t>
  </si>
  <si>
    <t>M00501</t>
  </si>
  <si>
    <t>M00507</t>
  </si>
  <si>
    <t>M00508</t>
  </si>
  <si>
    <t>M00509</t>
  </si>
  <si>
    <t>M00510</t>
  </si>
  <si>
    <t>M00511</t>
  </si>
  <si>
    <t>I04 - Inflight Services Manager</t>
  </si>
  <si>
    <t>M00516</t>
  </si>
  <si>
    <t>M00524</t>
  </si>
  <si>
    <t>M00525</t>
  </si>
  <si>
    <t>M00527</t>
  </si>
  <si>
    <t>M00534</t>
  </si>
  <si>
    <t>M00538</t>
  </si>
  <si>
    <t>M00540</t>
  </si>
  <si>
    <t>M00543</t>
  </si>
  <si>
    <t>M00545</t>
  </si>
  <si>
    <t>M00546</t>
  </si>
  <si>
    <t>M00549</t>
  </si>
  <si>
    <t>M00551</t>
  </si>
  <si>
    <t>M00552</t>
  </si>
  <si>
    <t>M00553</t>
  </si>
  <si>
    <t>R01 - Receptionist</t>
  </si>
  <si>
    <t>M00556</t>
  </si>
  <si>
    <t>H02 - Health &amp; Safety Co-Ordinator</t>
  </si>
  <si>
    <t>M00569</t>
  </si>
  <si>
    <t>M00573</t>
  </si>
  <si>
    <t>I02 - ICTOPS Manager</t>
  </si>
  <si>
    <t>M00578</t>
  </si>
  <si>
    <t>M00579</t>
  </si>
  <si>
    <t>M00582</t>
  </si>
  <si>
    <t>M00589</t>
  </si>
  <si>
    <t>M00593</t>
  </si>
  <si>
    <t>S04 - Senior First Officer</t>
  </si>
  <si>
    <t>M00594</t>
  </si>
  <si>
    <t>M00597</t>
  </si>
  <si>
    <t>M00598</t>
  </si>
  <si>
    <t>M00606</t>
  </si>
  <si>
    <t>M00607</t>
  </si>
  <si>
    <t>G02 - General Worker</t>
  </si>
  <si>
    <t>M00608</t>
  </si>
  <si>
    <t>M00609</t>
  </si>
  <si>
    <t>M00611</t>
  </si>
  <si>
    <t>M00613</t>
  </si>
  <si>
    <t>F04 - First Officer</t>
  </si>
  <si>
    <t>M00618</t>
  </si>
  <si>
    <t>M00629</t>
  </si>
  <si>
    <t>M00630</t>
  </si>
  <si>
    <t>M00634</t>
  </si>
  <si>
    <t>C04 - Cabin Services Co-Cordinator</t>
  </si>
  <si>
    <t>M00636</t>
  </si>
  <si>
    <t>M00640</t>
  </si>
  <si>
    <t>M00643</t>
  </si>
  <si>
    <t>M00651</t>
  </si>
  <si>
    <t>M00655</t>
  </si>
  <si>
    <t>M00657</t>
  </si>
  <si>
    <t>M00658</t>
  </si>
  <si>
    <t>M00659</t>
  </si>
  <si>
    <t>M00663</t>
  </si>
  <si>
    <t>M00664</t>
  </si>
  <si>
    <t>M00666</t>
  </si>
  <si>
    <t>M00669</t>
  </si>
  <si>
    <t>M00670</t>
  </si>
  <si>
    <t>M00672</t>
  </si>
  <si>
    <t>U01 - Uniform Co-Ordinator</t>
  </si>
  <si>
    <t>M00680</t>
  </si>
  <si>
    <t>P03 - Publications Controller</t>
  </si>
  <si>
    <t>M00682</t>
  </si>
  <si>
    <t>M00685</t>
  </si>
  <si>
    <t>M00689</t>
  </si>
  <si>
    <t>M00690</t>
  </si>
  <si>
    <t xml:space="preserve">D01 - Development Manager </t>
  </si>
  <si>
    <t>M00694</t>
  </si>
  <si>
    <t>M00695</t>
  </si>
  <si>
    <t>M00696</t>
  </si>
  <si>
    <t>S07 - Senior Windows Developer</t>
  </si>
  <si>
    <t>M00701</t>
  </si>
  <si>
    <t>M00718</t>
  </si>
  <si>
    <t>M00720</t>
  </si>
  <si>
    <t>M00730</t>
  </si>
  <si>
    <t>M00732</t>
  </si>
  <si>
    <t>M00733</t>
  </si>
  <si>
    <t>M00734</t>
  </si>
  <si>
    <t>M00735</t>
  </si>
  <si>
    <t>R02 - Revenue Analyst</t>
  </si>
  <si>
    <t>M00736</t>
  </si>
  <si>
    <t>C08 - Catering Administrator</t>
  </si>
  <si>
    <t>M00742</t>
  </si>
  <si>
    <t>M00744</t>
  </si>
  <si>
    <t>M00759</t>
  </si>
  <si>
    <t>M00760</t>
  </si>
  <si>
    <t>M00761</t>
  </si>
  <si>
    <t>M00762</t>
  </si>
  <si>
    <t>M00763</t>
  </si>
  <si>
    <t>M00767</t>
  </si>
  <si>
    <t>M00770</t>
  </si>
  <si>
    <t>M00772</t>
  </si>
  <si>
    <t>M00779</t>
  </si>
  <si>
    <t>M00781</t>
  </si>
  <si>
    <t>M00782</t>
  </si>
  <si>
    <t>M00783</t>
  </si>
  <si>
    <t>M00784</t>
  </si>
  <si>
    <t>P02 - Project Manager</t>
  </si>
  <si>
    <t>M00785</t>
  </si>
  <si>
    <t>M00791</t>
  </si>
  <si>
    <t>M00792</t>
  </si>
  <si>
    <t>M00796</t>
  </si>
  <si>
    <t>M00797</t>
  </si>
  <si>
    <t>M00798</t>
  </si>
  <si>
    <t>M00799</t>
  </si>
  <si>
    <t>M00800</t>
  </si>
  <si>
    <t>M00801</t>
  </si>
  <si>
    <t>M00803</t>
  </si>
  <si>
    <t>M00805</t>
  </si>
  <si>
    <t>M00806</t>
  </si>
  <si>
    <t>M00807</t>
  </si>
  <si>
    <t>M00809</t>
  </si>
  <si>
    <t>M00810</t>
  </si>
  <si>
    <t>M00812</t>
  </si>
  <si>
    <t>M00814</t>
  </si>
  <si>
    <t>M00819</t>
  </si>
  <si>
    <t>C05 - Cabin Services Manager</t>
  </si>
  <si>
    <t>M00823</t>
  </si>
  <si>
    <t>M00825</t>
  </si>
  <si>
    <t>M00826</t>
  </si>
  <si>
    <t>M00829</t>
  </si>
  <si>
    <t>M00833</t>
  </si>
  <si>
    <t>M00834</t>
  </si>
  <si>
    <t>M00835</t>
  </si>
  <si>
    <t>M00839</t>
  </si>
  <si>
    <t>M00841</t>
  </si>
  <si>
    <t>M00842</t>
  </si>
  <si>
    <t>M00843</t>
  </si>
  <si>
    <t>C13 - Corporate Sales Agent</t>
  </si>
  <si>
    <t>M00846</t>
  </si>
  <si>
    <t>M00847</t>
  </si>
  <si>
    <t>M00848</t>
  </si>
  <si>
    <t>M00849</t>
  </si>
  <si>
    <t>M00850</t>
  </si>
  <si>
    <t>M00851</t>
  </si>
  <si>
    <t>M00854</t>
  </si>
  <si>
    <t>M00857</t>
  </si>
  <si>
    <t>M00858</t>
  </si>
  <si>
    <t>M00859</t>
  </si>
  <si>
    <t>M00861</t>
  </si>
  <si>
    <t>A03 - Assistant Chief Pilot</t>
  </si>
  <si>
    <t>M00862</t>
  </si>
  <si>
    <t>M00864</t>
  </si>
  <si>
    <t>M00865</t>
  </si>
  <si>
    <t>M00867</t>
  </si>
  <si>
    <t>M00868</t>
  </si>
  <si>
    <t>M00870</t>
  </si>
  <si>
    <t>M00871</t>
  </si>
  <si>
    <t>M00872</t>
  </si>
  <si>
    <t>M00873</t>
  </si>
  <si>
    <t>M00876</t>
  </si>
  <si>
    <t>M00880</t>
  </si>
  <si>
    <t>M00881</t>
  </si>
  <si>
    <t>M00882</t>
  </si>
  <si>
    <t>M00884</t>
  </si>
  <si>
    <t>M00885</t>
  </si>
  <si>
    <t>M00886</t>
  </si>
  <si>
    <t>M00891</t>
  </si>
  <si>
    <t>M00892</t>
  </si>
  <si>
    <t>M00893</t>
  </si>
  <si>
    <t>M00894</t>
  </si>
  <si>
    <t>M00897</t>
  </si>
  <si>
    <t>M00899</t>
  </si>
  <si>
    <t>M00900</t>
  </si>
  <si>
    <t>M00903</t>
  </si>
  <si>
    <t>M00910</t>
  </si>
  <si>
    <t>M00911</t>
  </si>
  <si>
    <t>M00912</t>
  </si>
  <si>
    <t>M00914</t>
  </si>
  <si>
    <t>M00915</t>
  </si>
  <si>
    <t>M00918</t>
  </si>
  <si>
    <t>M00919</t>
  </si>
  <si>
    <t>M00922</t>
  </si>
  <si>
    <t>M00923</t>
  </si>
  <si>
    <t>M00925</t>
  </si>
  <si>
    <t>M00927</t>
  </si>
  <si>
    <t>M00929</t>
  </si>
  <si>
    <t>M00931</t>
  </si>
  <si>
    <t>M00932</t>
  </si>
  <si>
    <t>M00934</t>
  </si>
  <si>
    <t>M00935</t>
  </si>
  <si>
    <t>M00940</t>
  </si>
  <si>
    <t>M00942</t>
  </si>
  <si>
    <t>M00943</t>
  </si>
  <si>
    <t>M00944</t>
  </si>
  <si>
    <t>M00946</t>
  </si>
  <si>
    <t>M00947</t>
  </si>
  <si>
    <t>M00950</t>
  </si>
  <si>
    <t>M00958</t>
  </si>
  <si>
    <t>M00960</t>
  </si>
  <si>
    <t>M00961</t>
  </si>
  <si>
    <t>M00964</t>
  </si>
  <si>
    <t>M00965</t>
  </si>
  <si>
    <t>M00967</t>
  </si>
  <si>
    <t>M00968</t>
  </si>
  <si>
    <t>G04 - GM Support Services &amp; CFO</t>
  </si>
  <si>
    <t>M00971</t>
  </si>
  <si>
    <t>M00972</t>
  </si>
  <si>
    <t>S05 - Senior QA and Support Analyst</t>
  </si>
  <si>
    <t>M00974</t>
  </si>
  <si>
    <t>M00976</t>
  </si>
  <si>
    <t>M00977</t>
  </si>
  <si>
    <t>M00978</t>
  </si>
  <si>
    <t>M00979</t>
  </si>
  <si>
    <t>M00980</t>
  </si>
  <si>
    <t>M00981</t>
  </si>
  <si>
    <t>M00983</t>
  </si>
  <si>
    <t>M00985</t>
  </si>
  <si>
    <t>M00986</t>
  </si>
  <si>
    <t>M00987</t>
  </si>
  <si>
    <t>M00989</t>
  </si>
  <si>
    <t>M00990</t>
  </si>
  <si>
    <t>M00991</t>
  </si>
  <si>
    <t>M00993</t>
  </si>
  <si>
    <t>M00995</t>
  </si>
  <si>
    <t>M01000</t>
  </si>
  <si>
    <t>M01002</t>
  </si>
  <si>
    <t>M01003</t>
  </si>
  <si>
    <t>M01004</t>
  </si>
  <si>
    <t>M01005</t>
  </si>
  <si>
    <t>M01011</t>
  </si>
  <si>
    <t>M01013</t>
  </si>
  <si>
    <t>M01014</t>
  </si>
  <si>
    <t>M01015</t>
  </si>
  <si>
    <t>M01017</t>
  </si>
  <si>
    <t>M01018</t>
  </si>
  <si>
    <t>M01019</t>
  </si>
  <si>
    <t>M01023</t>
  </si>
  <si>
    <t>Q01 - Quality Assurance and Compl Manager</t>
  </si>
  <si>
    <t>M01026</t>
  </si>
  <si>
    <t>M01027</t>
  </si>
  <si>
    <t>M01032</t>
  </si>
  <si>
    <t>M01033</t>
  </si>
  <si>
    <t>M01036</t>
  </si>
  <si>
    <t>M01038</t>
  </si>
  <si>
    <t>M01039</t>
  </si>
  <si>
    <t>M01040</t>
  </si>
  <si>
    <t>M01041</t>
  </si>
  <si>
    <t>M01042</t>
  </si>
  <si>
    <t>M01043</t>
  </si>
  <si>
    <t>M01045</t>
  </si>
  <si>
    <t>M01048</t>
  </si>
  <si>
    <t>M01049</t>
  </si>
  <si>
    <t>M01052</t>
  </si>
  <si>
    <t>M01053</t>
  </si>
  <si>
    <t>M01054</t>
  </si>
  <si>
    <t>M01062</t>
  </si>
  <si>
    <t>M01063</t>
  </si>
  <si>
    <t>M01064</t>
  </si>
  <si>
    <t>S06 - Senior UNIX Developer</t>
  </si>
  <si>
    <t>H12 - HOD Safety</t>
  </si>
  <si>
    <t>M01067</t>
  </si>
  <si>
    <t>M01068</t>
  </si>
  <si>
    <t>M01069</t>
  </si>
  <si>
    <t>M01073</t>
  </si>
  <si>
    <t>M01075</t>
  </si>
  <si>
    <t>M01076</t>
  </si>
  <si>
    <t>M01078</t>
  </si>
  <si>
    <t>M01080</t>
  </si>
  <si>
    <t>M01081</t>
  </si>
  <si>
    <t>M01082</t>
  </si>
  <si>
    <t>M01083</t>
  </si>
  <si>
    <t>M01084</t>
  </si>
  <si>
    <t>M01086</t>
  </si>
  <si>
    <t>M01087</t>
  </si>
  <si>
    <t>M01088</t>
  </si>
  <si>
    <t>M01089</t>
  </si>
  <si>
    <t>M01090</t>
  </si>
  <si>
    <t>M01093</t>
  </si>
  <si>
    <t>M01094</t>
  </si>
  <si>
    <t>M01096</t>
  </si>
  <si>
    <t>M01098</t>
  </si>
  <si>
    <t>M01099</t>
  </si>
  <si>
    <t>M01102</t>
  </si>
  <si>
    <t>M01103</t>
  </si>
  <si>
    <t>M01104</t>
  </si>
  <si>
    <t>M01105</t>
  </si>
  <si>
    <t>M01107</t>
  </si>
  <si>
    <t>M01108</t>
  </si>
  <si>
    <t>M01110</t>
  </si>
  <si>
    <t>M01113</t>
  </si>
  <si>
    <t>M01114</t>
  </si>
  <si>
    <t>M01115</t>
  </si>
  <si>
    <t>M01116</t>
  </si>
  <si>
    <t>M01118</t>
  </si>
  <si>
    <t>M01119</t>
  </si>
  <si>
    <t>M01120</t>
  </si>
  <si>
    <t>H13 - HOD Sales</t>
  </si>
  <si>
    <t>M01123</t>
  </si>
  <si>
    <t>M01124</t>
  </si>
  <si>
    <t>M01125</t>
  </si>
  <si>
    <t>M01126</t>
  </si>
  <si>
    <t>M01129</t>
  </si>
  <si>
    <t>M01130</t>
  </si>
  <si>
    <t>M01131</t>
  </si>
  <si>
    <t>M01132</t>
  </si>
  <si>
    <t>M01133</t>
  </si>
  <si>
    <t>M01134</t>
  </si>
  <si>
    <t>M01135</t>
  </si>
  <si>
    <t>M01139</t>
  </si>
  <si>
    <t>M01140</t>
  </si>
  <si>
    <t>M01141</t>
  </si>
  <si>
    <t>M01142</t>
  </si>
  <si>
    <t>M01143</t>
  </si>
  <si>
    <t>M01144</t>
  </si>
  <si>
    <t>M01145</t>
  </si>
  <si>
    <t>M01146</t>
  </si>
  <si>
    <t>M01147</t>
  </si>
  <si>
    <t>M01148</t>
  </si>
  <si>
    <t>M01149</t>
  </si>
  <si>
    <t>M01150</t>
  </si>
  <si>
    <t>M01151</t>
  </si>
  <si>
    <t>M01153</t>
  </si>
  <si>
    <t>M01156</t>
  </si>
  <si>
    <t>M01159</t>
  </si>
  <si>
    <t>M01161</t>
  </si>
  <si>
    <t>M01162</t>
  </si>
  <si>
    <t>M01170</t>
  </si>
  <si>
    <t>M01172</t>
  </si>
  <si>
    <t>M01173</t>
  </si>
  <si>
    <t>M01174</t>
  </si>
  <si>
    <t>M01176</t>
  </si>
  <si>
    <t>M01178</t>
  </si>
  <si>
    <t>M01181</t>
  </si>
  <si>
    <t>M01184</t>
  </si>
  <si>
    <t>M01185</t>
  </si>
  <si>
    <t>M01186</t>
  </si>
  <si>
    <t>M01187</t>
  </si>
  <si>
    <t>M01188</t>
  </si>
  <si>
    <t>M01189</t>
  </si>
  <si>
    <t>M01190</t>
  </si>
  <si>
    <t>M01193</t>
  </si>
  <si>
    <t>M01195</t>
  </si>
  <si>
    <t>M01196</t>
  </si>
  <si>
    <t>M01198</t>
  </si>
  <si>
    <t>H07 - HOD Human Capital</t>
  </si>
  <si>
    <t>M01200</t>
  </si>
  <si>
    <t>M01201</t>
  </si>
  <si>
    <t>M01203</t>
  </si>
  <si>
    <t>M01204</t>
  </si>
  <si>
    <t>M01205</t>
  </si>
  <si>
    <t>C03 - Cabin Service Training Manager</t>
  </si>
  <si>
    <t>M01206</t>
  </si>
  <si>
    <t>M01207</t>
  </si>
  <si>
    <t>M01208</t>
  </si>
  <si>
    <t>M01209</t>
  </si>
  <si>
    <t>M01210</t>
  </si>
  <si>
    <t>M01211</t>
  </si>
  <si>
    <t>M01212</t>
  </si>
  <si>
    <t>M01213</t>
  </si>
  <si>
    <t>M01214</t>
  </si>
  <si>
    <t>M01215</t>
  </si>
  <si>
    <t>M01216</t>
  </si>
  <si>
    <t>M01217</t>
  </si>
  <si>
    <t>M01218</t>
  </si>
  <si>
    <t>M01219</t>
  </si>
  <si>
    <t>M01220</t>
  </si>
  <si>
    <t>M01221</t>
  </si>
  <si>
    <t>M01222</t>
  </si>
  <si>
    <t>M01223</t>
  </si>
  <si>
    <t>M01224</t>
  </si>
  <si>
    <t>M01225</t>
  </si>
  <si>
    <t>M01226</t>
  </si>
  <si>
    <t>M01227</t>
  </si>
  <si>
    <t>M01228</t>
  </si>
  <si>
    <t>M01229</t>
  </si>
  <si>
    <t>M01230</t>
  </si>
  <si>
    <t>M01231</t>
  </si>
  <si>
    <t>M01232</t>
  </si>
  <si>
    <t>M01234</t>
  </si>
  <si>
    <t>M01235</t>
  </si>
  <si>
    <t>M01236</t>
  </si>
  <si>
    <t>M01237</t>
  </si>
  <si>
    <t>M01238</t>
  </si>
  <si>
    <t>M01239</t>
  </si>
  <si>
    <t>I01 - ICT Co-Ordinator</t>
  </si>
  <si>
    <t>M01241</t>
  </si>
  <si>
    <t>B02 - Business Development Analyst</t>
  </si>
  <si>
    <t>M01243</t>
  </si>
  <si>
    <t>M01244</t>
  </si>
  <si>
    <t>A02 - Area Sales Specialist</t>
  </si>
  <si>
    <t>M01245</t>
  </si>
  <si>
    <t>M01247</t>
  </si>
  <si>
    <t>M01248</t>
  </si>
  <si>
    <t>M01249</t>
  </si>
  <si>
    <t>M01250</t>
  </si>
  <si>
    <t>M01251</t>
  </si>
  <si>
    <t>M01252</t>
  </si>
  <si>
    <t>M01253</t>
  </si>
  <si>
    <t>M01255</t>
  </si>
  <si>
    <t>M01256</t>
  </si>
  <si>
    <t>M01257</t>
  </si>
  <si>
    <t>M01258</t>
  </si>
  <si>
    <t>M01259</t>
  </si>
  <si>
    <t>M01260</t>
  </si>
  <si>
    <t>M01261</t>
  </si>
  <si>
    <t>M01273</t>
  </si>
  <si>
    <t>M01274</t>
  </si>
  <si>
    <t>M01275</t>
  </si>
  <si>
    <t>M01277</t>
  </si>
  <si>
    <t>M01278</t>
  </si>
  <si>
    <t>M01280</t>
  </si>
  <si>
    <t>M01281</t>
  </si>
  <si>
    <t>M01282</t>
  </si>
  <si>
    <t>M01284</t>
  </si>
  <si>
    <t>M01285</t>
  </si>
  <si>
    <t>M01286</t>
  </si>
  <si>
    <t>M01290</t>
  </si>
  <si>
    <t>M01291</t>
  </si>
  <si>
    <t>M01295</t>
  </si>
  <si>
    <t>M01299</t>
  </si>
  <si>
    <t>M01300</t>
  </si>
  <si>
    <t>M01301</t>
  </si>
  <si>
    <t>M01302</t>
  </si>
  <si>
    <t>M01304</t>
  </si>
  <si>
    <t>M01306</t>
  </si>
  <si>
    <t>F03 - Financial Officer</t>
  </si>
  <si>
    <t>M01307</t>
  </si>
  <si>
    <t>M01308</t>
  </si>
  <si>
    <t>M01309</t>
  </si>
  <si>
    <t>M01310</t>
  </si>
  <si>
    <t>M01311</t>
  </si>
  <si>
    <t>M01312</t>
  </si>
  <si>
    <t>M01313</t>
  </si>
  <si>
    <t>M01314</t>
  </si>
  <si>
    <t>M01318</t>
  </si>
  <si>
    <t>M01319</t>
  </si>
  <si>
    <t>M01320</t>
  </si>
  <si>
    <t>M01321</t>
  </si>
  <si>
    <t>M01324</t>
  </si>
  <si>
    <t>M01325</t>
  </si>
  <si>
    <t>M01326</t>
  </si>
  <si>
    <t>M01327</t>
  </si>
  <si>
    <t>M01336</t>
  </si>
  <si>
    <t>M01337</t>
  </si>
  <si>
    <t>M01338</t>
  </si>
  <si>
    <t>M01340</t>
  </si>
  <si>
    <t>M01341</t>
  </si>
  <si>
    <t>M01342</t>
  </si>
  <si>
    <t>M01343</t>
  </si>
  <si>
    <t>M01344</t>
  </si>
  <si>
    <t>M01345</t>
  </si>
  <si>
    <t>M01346</t>
  </si>
  <si>
    <t>M01347</t>
  </si>
  <si>
    <t>M01348</t>
  </si>
  <si>
    <t>M01350</t>
  </si>
  <si>
    <t>M01351</t>
  </si>
  <si>
    <t>M01352</t>
  </si>
  <si>
    <t>M01354</t>
  </si>
  <si>
    <t>M01369</t>
  </si>
  <si>
    <t>M01370</t>
  </si>
  <si>
    <t>M01371</t>
  </si>
  <si>
    <t>M01372</t>
  </si>
  <si>
    <t>M01373</t>
  </si>
  <si>
    <t>M01374</t>
  </si>
  <si>
    <t>M01375</t>
  </si>
  <si>
    <t>M01376</t>
  </si>
  <si>
    <t>M01377</t>
  </si>
  <si>
    <t>M01378</t>
  </si>
  <si>
    <t>M01380</t>
  </si>
  <si>
    <t>M01381</t>
  </si>
  <si>
    <t>M01393</t>
  </si>
  <si>
    <t>M01398</t>
  </si>
  <si>
    <t>M01403</t>
  </si>
  <si>
    <t>M01404</t>
  </si>
  <si>
    <t>M01405</t>
  </si>
  <si>
    <t>M01406</t>
  </si>
  <si>
    <t>M01407</t>
  </si>
  <si>
    <t>T02 - Technical Manager</t>
  </si>
  <si>
    <t>M01408</t>
  </si>
  <si>
    <t>M01409</t>
  </si>
  <si>
    <t>M01410</t>
  </si>
  <si>
    <t>M01412</t>
  </si>
  <si>
    <t>M01413</t>
  </si>
  <si>
    <t>M01414</t>
  </si>
  <si>
    <t>M01416</t>
  </si>
  <si>
    <t>M01417</t>
  </si>
  <si>
    <t>M01418</t>
  </si>
  <si>
    <t>M01419</t>
  </si>
  <si>
    <t>M01420</t>
  </si>
  <si>
    <t>M01421</t>
  </si>
  <si>
    <t>M01422</t>
  </si>
  <si>
    <t>M01423</t>
  </si>
  <si>
    <t>M01424</t>
  </si>
  <si>
    <t>M01426</t>
  </si>
  <si>
    <t>M01429</t>
  </si>
  <si>
    <t>M01430</t>
  </si>
  <si>
    <t>M01431</t>
  </si>
  <si>
    <t>M01432</t>
  </si>
  <si>
    <t>M01433</t>
  </si>
  <si>
    <t>M01435</t>
  </si>
  <si>
    <t>M01438</t>
  </si>
  <si>
    <t>H18 - HOD Financial Accounting</t>
  </si>
  <si>
    <t>M01439</t>
  </si>
  <si>
    <t>M01440</t>
  </si>
  <si>
    <t>M01441</t>
  </si>
  <si>
    <t>M01442</t>
  </si>
  <si>
    <t>M01443</t>
  </si>
  <si>
    <t>M01445</t>
  </si>
  <si>
    <t>M01447</t>
  </si>
  <si>
    <t>M01448</t>
  </si>
  <si>
    <t>M01449</t>
  </si>
  <si>
    <t>M01450</t>
  </si>
  <si>
    <t>M01451</t>
  </si>
  <si>
    <t>M01452</t>
  </si>
  <si>
    <t>M01453</t>
  </si>
  <si>
    <t>M01454</t>
  </si>
  <si>
    <t>M01455</t>
  </si>
  <si>
    <t>M01456</t>
  </si>
  <si>
    <t>M01457</t>
  </si>
  <si>
    <t>M01458</t>
  </si>
  <si>
    <t>M01459</t>
  </si>
  <si>
    <t>M01462</t>
  </si>
  <si>
    <t>M01463</t>
  </si>
  <si>
    <t>M01464</t>
  </si>
  <si>
    <t>M01465</t>
  </si>
  <si>
    <t>M01466</t>
  </si>
  <si>
    <t>M01467</t>
  </si>
  <si>
    <t>M01468</t>
  </si>
  <si>
    <t>M01469</t>
  </si>
  <si>
    <t>M01470</t>
  </si>
  <si>
    <t>M01471</t>
  </si>
  <si>
    <t>M01472</t>
  </si>
  <si>
    <t>M01476</t>
  </si>
  <si>
    <t>A</t>
  </si>
  <si>
    <t>C</t>
  </si>
  <si>
    <t>I</t>
  </si>
  <si>
    <t>W</t>
  </si>
  <si>
    <t>M01478</t>
  </si>
  <si>
    <t>M01479</t>
  </si>
  <si>
    <t>M01480</t>
  </si>
  <si>
    <t>M01481</t>
  </si>
  <si>
    <t>M01444</t>
  </si>
  <si>
    <t>M01482</t>
  </si>
  <si>
    <t>M03 - Manager-Technical Contract</t>
  </si>
  <si>
    <t>C06 - Call Centre Manager</t>
  </si>
  <si>
    <t>M01484</t>
  </si>
  <si>
    <t>H19 - HOD IT</t>
  </si>
  <si>
    <t>M01486</t>
  </si>
  <si>
    <t>M01488</t>
  </si>
  <si>
    <t>M01489</t>
  </si>
  <si>
    <t>T06 - GO Trainer</t>
  </si>
  <si>
    <t>M01483</t>
  </si>
  <si>
    <t>M01485</t>
  </si>
  <si>
    <t>U02 - UNIX Developer</t>
  </si>
  <si>
    <t>M01491</t>
  </si>
  <si>
    <t>M01493</t>
  </si>
  <si>
    <t>M01492</t>
  </si>
  <si>
    <t>M01500</t>
  </si>
  <si>
    <t>M01497</t>
  </si>
  <si>
    <t>M01496</t>
  </si>
  <si>
    <t>M01499</t>
  </si>
  <si>
    <t>M01498</t>
  </si>
  <si>
    <t>M01495</t>
  </si>
  <si>
    <t>M01494</t>
  </si>
  <si>
    <t>M01501</t>
  </si>
  <si>
    <t>M01490</t>
  </si>
  <si>
    <t>M01504</t>
  </si>
  <si>
    <t>Last Name</t>
  </si>
  <si>
    <t>Initials</t>
  </si>
  <si>
    <t>ID Number</t>
  </si>
  <si>
    <t>First Name</t>
  </si>
  <si>
    <t>Molebogeng</t>
  </si>
  <si>
    <t>P</t>
  </si>
  <si>
    <t>Phaladi</t>
  </si>
  <si>
    <t>Richard</t>
  </si>
  <si>
    <t>Kiely</t>
  </si>
  <si>
    <t>John</t>
  </si>
  <si>
    <t>Peter</t>
  </si>
  <si>
    <t>Jones</t>
  </si>
  <si>
    <t>M</t>
  </si>
  <si>
    <t>Mark</t>
  </si>
  <si>
    <t>Kabi</t>
  </si>
  <si>
    <t>B</t>
  </si>
  <si>
    <t>Batseba</t>
  </si>
  <si>
    <t>Mahomed</t>
  </si>
  <si>
    <t>Y</t>
  </si>
  <si>
    <t>Yusuf</t>
  </si>
  <si>
    <t>Mkhangeli</t>
  </si>
  <si>
    <t>N</t>
  </si>
  <si>
    <t>Nokuthula</t>
  </si>
  <si>
    <t>Mathaba</t>
  </si>
  <si>
    <t>S</t>
  </si>
  <si>
    <t>Sinenhlanhla</t>
  </si>
  <si>
    <t>Dywili</t>
  </si>
  <si>
    <t>Sindiswa</t>
  </si>
  <si>
    <t>Hayward</t>
  </si>
  <si>
    <t>G</t>
  </si>
  <si>
    <t>Gordon</t>
  </si>
  <si>
    <t>Kamalie</t>
  </si>
  <si>
    <t>Shakira</t>
  </si>
  <si>
    <t>Mashego</t>
  </si>
  <si>
    <t>VI</t>
  </si>
  <si>
    <t>Vonty</t>
  </si>
  <si>
    <t>Ntleki</t>
  </si>
  <si>
    <t>MS</t>
  </si>
  <si>
    <t>Maluxolwe</t>
  </si>
  <si>
    <t>Masekoameng</t>
  </si>
  <si>
    <t>E</t>
  </si>
  <si>
    <t>Eunice</t>
  </si>
  <si>
    <t>Hlongwane</t>
  </si>
  <si>
    <t>T</t>
  </si>
  <si>
    <t>Thembsile</t>
  </si>
  <si>
    <t>Lynn</t>
  </si>
  <si>
    <t>Oosthuizen</t>
  </si>
  <si>
    <t>ML</t>
  </si>
  <si>
    <t>Monique</t>
  </si>
  <si>
    <t>Kwapeng</t>
  </si>
  <si>
    <t>L</t>
  </si>
  <si>
    <t>Lebogang</t>
  </si>
  <si>
    <t>Kgwedi</t>
  </si>
  <si>
    <t>PM</t>
  </si>
  <si>
    <t>Petronella</t>
  </si>
  <si>
    <t>Mashigo</t>
  </si>
  <si>
    <t>H</t>
  </si>
  <si>
    <t>Humphrey</t>
  </si>
  <si>
    <t>Mclean</t>
  </si>
  <si>
    <t>Chantel</t>
  </si>
  <si>
    <t>Shange</t>
  </si>
  <si>
    <t>RS</t>
  </si>
  <si>
    <t>Rejoice</t>
  </si>
  <si>
    <t>Laurienne</t>
  </si>
  <si>
    <t>Adams</t>
  </si>
  <si>
    <t>F</t>
  </si>
  <si>
    <t>Farhanaaz</t>
  </si>
  <si>
    <t>Hajwanie</t>
  </si>
  <si>
    <t>R</t>
  </si>
  <si>
    <t>Rushda</t>
  </si>
  <si>
    <t>Kgabi</t>
  </si>
  <si>
    <t>Patricia</t>
  </si>
  <si>
    <t>Ncayo</t>
  </si>
  <si>
    <t>Lazola</t>
  </si>
  <si>
    <t>Selemela</t>
  </si>
  <si>
    <t>TQ</t>
  </si>
  <si>
    <t>Tshepo</t>
  </si>
  <si>
    <t>Mhlambi</t>
  </si>
  <si>
    <t>TS</t>
  </si>
  <si>
    <t>Teddy</t>
  </si>
  <si>
    <t>Von Lossberg</t>
  </si>
  <si>
    <t>Bernie</t>
  </si>
  <si>
    <t>Mouton</t>
  </si>
  <si>
    <t>QC</t>
  </si>
  <si>
    <t>Quentin</t>
  </si>
  <si>
    <t>Ramlall</t>
  </si>
  <si>
    <t>Satish</t>
  </si>
  <si>
    <t>Lourens</t>
  </si>
  <si>
    <t>Strachan</t>
  </si>
  <si>
    <t>SL</t>
  </si>
  <si>
    <t>Sybrand</t>
  </si>
  <si>
    <t>Alpert</t>
  </si>
  <si>
    <t>Evan</t>
  </si>
  <si>
    <t>Brand</t>
  </si>
  <si>
    <t>Robert</t>
  </si>
  <si>
    <t>Dube</t>
  </si>
  <si>
    <t>Moore</t>
  </si>
  <si>
    <t>Mashiyane</t>
  </si>
  <si>
    <t>Sakhile</t>
  </si>
  <si>
    <t>Morapedi</t>
  </si>
  <si>
    <t>Sellinah</t>
  </si>
  <si>
    <t>Potlaki</t>
  </si>
  <si>
    <t>LM</t>
  </si>
  <si>
    <t>Lucetta</t>
  </si>
  <si>
    <t>Sopela</t>
  </si>
  <si>
    <t>Nondyebo</t>
  </si>
  <si>
    <t>Thubisi</t>
  </si>
  <si>
    <t>SP</t>
  </si>
  <si>
    <t>Segametse</t>
  </si>
  <si>
    <t>Beckett</t>
  </si>
  <si>
    <t>Cinzia</t>
  </si>
  <si>
    <t>Mogolola</t>
  </si>
  <si>
    <t>J</t>
  </si>
  <si>
    <t>Jennifer</t>
  </si>
  <si>
    <t>Moosa</t>
  </si>
  <si>
    <t>Jo-Anne</t>
  </si>
  <si>
    <t>Ndamane</t>
  </si>
  <si>
    <t>Siyamthanda</t>
  </si>
  <si>
    <t>Qaba</t>
  </si>
  <si>
    <t>NJ</t>
  </si>
  <si>
    <t>Nolitha</t>
  </si>
  <si>
    <t>Barnard</t>
  </si>
  <si>
    <t>Andre</t>
  </si>
  <si>
    <t>Skosana</t>
  </si>
  <si>
    <t>Paseka</t>
  </si>
  <si>
    <t>Masinyane</t>
  </si>
  <si>
    <t>Laurentia</t>
  </si>
  <si>
    <t>Seabi</t>
  </si>
  <si>
    <t>MM</t>
  </si>
  <si>
    <t>Martha</t>
  </si>
  <si>
    <t>Pillay</t>
  </si>
  <si>
    <t>V</t>
  </si>
  <si>
    <t>Vegeshen</t>
  </si>
  <si>
    <t>Osman</t>
  </si>
  <si>
    <t>Shantal</t>
  </si>
  <si>
    <t>Asmal</t>
  </si>
  <si>
    <t>Imran</t>
  </si>
  <si>
    <t>Louw</t>
  </si>
  <si>
    <t>Candice</t>
  </si>
  <si>
    <t>JP</t>
  </si>
  <si>
    <t>De Villiers</t>
  </si>
  <si>
    <t>Jean-Pierre</t>
  </si>
  <si>
    <t>Fredericks</t>
  </si>
  <si>
    <t>GH</t>
  </si>
  <si>
    <t>Gillian</t>
  </si>
  <si>
    <t>Shabane</t>
  </si>
  <si>
    <t>SG</t>
  </si>
  <si>
    <t>Sibuyiselo</t>
  </si>
  <si>
    <t>Hadebe</t>
  </si>
  <si>
    <t>Sanelisiwe</t>
  </si>
  <si>
    <t>Van Rooyen</t>
  </si>
  <si>
    <t>Williams</t>
  </si>
  <si>
    <t>AS</t>
  </si>
  <si>
    <t>Anwyn</t>
  </si>
  <si>
    <t>Khuboni</t>
  </si>
  <si>
    <t>IB</t>
  </si>
  <si>
    <t>Innocentia</t>
  </si>
  <si>
    <t>Lawrence</t>
  </si>
  <si>
    <t>Z</t>
  </si>
  <si>
    <t>Zelda</t>
  </si>
  <si>
    <t>Luthuli</t>
  </si>
  <si>
    <t>LG</t>
  </si>
  <si>
    <t>Lindiwe</t>
  </si>
  <si>
    <t>Mandhlazi</t>
  </si>
  <si>
    <t>Brenda</t>
  </si>
  <si>
    <t>Mtshali</t>
  </si>
  <si>
    <t>Matshidiso</t>
  </si>
  <si>
    <t>Mguga</t>
  </si>
  <si>
    <t>Malixole</t>
  </si>
  <si>
    <t>Mhlakaza</t>
  </si>
  <si>
    <t>Thembakazi</t>
  </si>
  <si>
    <t>Modak</t>
  </si>
  <si>
    <t>Fatima</t>
  </si>
  <si>
    <t>Mohlala</t>
  </si>
  <si>
    <t>KB</t>
  </si>
  <si>
    <t>Kgaugelo</t>
  </si>
  <si>
    <t>Mtshizana</t>
  </si>
  <si>
    <t>Mazuki</t>
  </si>
  <si>
    <t>Ngcem</t>
  </si>
  <si>
    <t>Thato</t>
  </si>
  <si>
    <t>Nkwezi</t>
  </si>
  <si>
    <t>Akhona</t>
  </si>
  <si>
    <t>Swano</t>
  </si>
  <si>
    <t>Chene</t>
  </si>
  <si>
    <t>Johnson</t>
  </si>
  <si>
    <t>TA</t>
  </si>
  <si>
    <t>Taryn</t>
  </si>
  <si>
    <t>Sampson</t>
  </si>
  <si>
    <t>Hutchings</t>
  </si>
  <si>
    <t>CB</t>
  </si>
  <si>
    <t>Cecil</t>
  </si>
  <si>
    <t>Cynthia</t>
  </si>
  <si>
    <t>Ditsepu</t>
  </si>
  <si>
    <t>MC</t>
  </si>
  <si>
    <t>Mahlodi</t>
  </si>
  <si>
    <t>Radebe</t>
  </si>
  <si>
    <t>Buyisile</t>
  </si>
  <si>
    <t>Lebethe</t>
  </si>
  <si>
    <t>Sedibeng</t>
  </si>
  <si>
    <t>Johannes</t>
  </si>
  <si>
    <t>Uys</t>
  </si>
  <si>
    <t>PJ</t>
  </si>
  <si>
    <t>Pieter</t>
  </si>
  <si>
    <t>Vlok</t>
  </si>
  <si>
    <t>Nicolaas</t>
  </si>
  <si>
    <t>Du Plooy</t>
  </si>
  <si>
    <t>Anthea</t>
  </si>
  <si>
    <t>Cloete</t>
  </si>
  <si>
    <t>Ronald</t>
  </si>
  <si>
    <t>Mgojo</t>
  </si>
  <si>
    <t>Mashiya</t>
  </si>
  <si>
    <t>Odendaal</t>
  </si>
  <si>
    <t>JY</t>
  </si>
  <si>
    <t>Jeanine</t>
  </si>
  <si>
    <t>Kleinhans</t>
  </si>
  <si>
    <t>JJD</t>
  </si>
  <si>
    <t>Jacobus</t>
  </si>
  <si>
    <t>Subban</t>
  </si>
  <si>
    <t>Seelan</t>
  </si>
  <si>
    <t>Heron</t>
  </si>
  <si>
    <t>JF</t>
  </si>
  <si>
    <t>Johanna</t>
  </si>
  <si>
    <t>Rungasamy</t>
  </si>
  <si>
    <t>NS</t>
  </si>
  <si>
    <t>Noelan</t>
  </si>
  <si>
    <t>Mokgoetsi</t>
  </si>
  <si>
    <t>KK</t>
  </si>
  <si>
    <t>Keamogetswe</t>
  </si>
  <si>
    <t>Izally</t>
  </si>
  <si>
    <t>BJ</t>
  </si>
  <si>
    <t>Bianca</t>
  </si>
  <si>
    <t>Daniels</t>
  </si>
  <si>
    <t>Jeandre</t>
  </si>
  <si>
    <t>Lowton</t>
  </si>
  <si>
    <t>Yudhuir</t>
  </si>
  <si>
    <t>Seele</t>
  </si>
  <si>
    <t>AR</t>
  </si>
  <si>
    <t>Albert</t>
  </si>
  <si>
    <t>AM</t>
  </si>
  <si>
    <t>Alvina</t>
  </si>
  <si>
    <t>Stock</t>
  </si>
  <si>
    <t>Yole</t>
  </si>
  <si>
    <t>Luhabe</t>
  </si>
  <si>
    <t>Pumla</t>
  </si>
  <si>
    <t>Veldtsman</t>
  </si>
  <si>
    <t>Wallie</t>
  </si>
  <si>
    <t>WDF</t>
  </si>
  <si>
    <t>Mkhize</t>
  </si>
  <si>
    <t>SV</t>
  </si>
  <si>
    <t>Samkelisiwe</t>
  </si>
  <si>
    <t>Nkosi</t>
  </si>
  <si>
    <t>WM</t>
  </si>
  <si>
    <t>Witness</t>
  </si>
  <si>
    <t>Herbert</t>
  </si>
  <si>
    <t>SJ</t>
  </si>
  <si>
    <t>Sandra</t>
  </si>
  <si>
    <t>Adolph</t>
  </si>
  <si>
    <t>Elze</t>
  </si>
  <si>
    <t>Mabasa</t>
  </si>
  <si>
    <t>TL</t>
  </si>
  <si>
    <t>Tlangelani</t>
  </si>
  <si>
    <t>Marais</t>
  </si>
  <si>
    <t>Heidi</t>
  </si>
  <si>
    <t>Roets</t>
  </si>
  <si>
    <t>Du Plessis</t>
  </si>
  <si>
    <t>Sonette</t>
  </si>
  <si>
    <t>Jefthas</t>
  </si>
  <si>
    <t>Marshline</t>
  </si>
  <si>
    <t>MA</t>
  </si>
  <si>
    <t>Mervyn</t>
  </si>
  <si>
    <t>Abrahams</t>
  </si>
  <si>
    <t>MELISSA</t>
  </si>
  <si>
    <t>Baai</t>
  </si>
  <si>
    <t>X</t>
  </si>
  <si>
    <t>XHANTI</t>
  </si>
  <si>
    <t>BUNYONYO</t>
  </si>
  <si>
    <t>LUNGA</t>
  </si>
  <si>
    <t>Dhansay</t>
  </si>
  <si>
    <t>SHABNAM</t>
  </si>
  <si>
    <t>FOLOSHE</t>
  </si>
  <si>
    <t>THEMBANI</t>
  </si>
  <si>
    <t>Fuzani</t>
  </si>
  <si>
    <t>NOMBULELO</t>
  </si>
  <si>
    <t>GOLIATH</t>
  </si>
  <si>
    <t>SHERILEE</t>
  </si>
  <si>
    <t>GQUBILE</t>
  </si>
  <si>
    <t>HN</t>
  </si>
  <si>
    <t>HAZEL</t>
  </si>
  <si>
    <t>Gumede</t>
  </si>
  <si>
    <t>Andile</t>
  </si>
  <si>
    <t>HLONGWANE</t>
  </si>
  <si>
    <t>NOMPUMELELO</t>
  </si>
  <si>
    <t>Jansen</t>
  </si>
  <si>
    <t>CK</t>
  </si>
  <si>
    <t>Cleo</t>
  </si>
  <si>
    <t>Lindinkosi</t>
  </si>
  <si>
    <t>Julius</t>
  </si>
  <si>
    <t>Christelle</t>
  </si>
  <si>
    <t>Kekana</t>
  </si>
  <si>
    <t>AL</t>
  </si>
  <si>
    <t>Aurellia</t>
  </si>
  <si>
    <t>Lisene</t>
  </si>
  <si>
    <t>L.M</t>
  </si>
  <si>
    <t>LEBOHANG</t>
  </si>
  <si>
    <t>Lukhele</t>
  </si>
  <si>
    <t>Busisiwe</t>
  </si>
  <si>
    <t>Madumo</t>
  </si>
  <si>
    <t>Fortune</t>
  </si>
  <si>
    <t>Malatji</t>
  </si>
  <si>
    <t>PATRICIA</t>
  </si>
  <si>
    <t>Mathibela</t>
  </si>
  <si>
    <t>Scelo</t>
  </si>
  <si>
    <t>Mojahi</t>
  </si>
  <si>
    <t>BOTLHALE</t>
  </si>
  <si>
    <t>Mokone</t>
  </si>
  <si>
    <t>Bontle</t>
  </si>
  <si>
    <t>Mosime</t>
  </si>
  <si>
    <t>LETTA</t>
  </si>
  <si>
    <t>Moyahi</t>
  </si>
  <si>
    <t>TT</t>
  </si>
  <si>
    <t>Tsholofelo</t>
  </si>
  <si>
    <t>Mpye</t>
  </si>
  <si>
    <t>SN</t>
  </si>
  <si>
    <t>Sarah</t>
  </si>
  <si>
    <t>Mtsiki</t>
  </si>
  <si>
    <t>Siphindile</t>
  </si>
  <si>
    <t>NGOQO</t>
  </si>
  <si>
    <t>SHALOM</t>
  </si>
  <si>
    <t>Nokwali</t>
  </si>
  <si>
    <t>LN</t>
  </si>
  <si>
    <t>LUSANDA</t>
  </si>
  <si>
    <t>PRINS</t>
  </si>
  <si>
    <t>LUTHRINE</t>
  </si>
  <si>
    <t>Sibanda</t>
  </si>
  <si>
    <t>ELAYIZOLO</t>
  </si>
  <si>
    <t>Brummer</t>
  </si>
  <si>
    <t>YOLANDA</t>
  </si>
  <si>
    <t>SONO</t>
  </si>
  <si>
    <t>NOLIZWI</t>
  </si>
  <si>
    <t>Zantsi</t>
  </si>
  <si>
    <t>MBIKAZI</t>
  </si>
  <si>
    <t>Botma</t>
  </si>
  <si>
    <t>Tertius</t>
  </si>
  <si>
    <t>PEARSON</t>
  </si>
  <si>
    <t>K</t>
  </si>
  <si>
    <t>KAREN</t>
  </si>
  <si>
    <t>MTHEMBU</t>
  </si>
  <si>
    <t>TJ</t>
  </si>
  <si>
    <t>THULANI</t>
  </si>
  <si>
    <t>Bennett</t>
  </si>
  <si>
    <t>Phyllis</t>
  </si>
  <si>
    <t>Rucastle</t>
  </si>
  <si>
    <t>AJ</t>
  </si>
  <si>
    <t>Athol</t>
  </si>
  <si>
    <t>MOSALA</t>
  </si>
  <si>
    <t>TSHEDISO</t>
  </si>
  <si>
    <t>Richman</t>
  </si>
  <si>
    <t>HENDRICK</t>
  </si>
  <si>
    <t>Likhaba</t>
  </si>
  <si>
    <t>Zamile</t>
  </si>
  <si>
    <t>Shuping</t>
  </si>
  <si>
    <t>Katlego</t>
  </si>
  <si>
    <t>Steyn</t>
  </si>
  <si>
    <t>SA</t>
  </si>
  <si>
    <t>Sandy</t>
  </si>
  <si>
    <t>Matsunyane</t>
  </si>
  <si>
    <t>MAMOKETE</t>
  </si>
  <si>
    <t>Kruis</t>
  </si>
  <si>
    <t>ANDRIES</t>
  </si>
  <si>
    <t>Bluhm</t>
  </si>
  <si>
    <t>MAX</t>
  </si>
  <si>
    <t>Du Toit</t>
  </si>
  <si>
    <t>THEUNIS</t>
  </si>
  <si>
    <t>Timms</t>
  </si>
  <si>
    <t>GC</t>
  </si>
  <si>
    <t>GRANT</t>
  </si>
  <si>
    <t>De Klerk</t>
  </si>
  <si>
    <t>Marc</t>
  </si>
  <si>
    <t>Hyde</t>
  </si>
  <si>
    <t>BH</t>
  </si>
  <si>
    <t>Bruce</t>
  </si>
  <si>
    <t>Levy</t>
  </si>
  <si>
    <t>Yinon</t>
  </si>
  <si>
    <t>Van Niekerk</t>
  </si>
  <si>
    <t>RD</t>
  </si>
  <si>
    <t>Smith</t>
  </si>
  <si>
    <t>GL</t>
  </si>
  <si>
    <t>Gregory</t>
  </si>
  <si>
    <t>Jacobs</t>
  </si>
  <si>
    <t>DP</t>
  </si>
  <si>
    <t>Daniel</t>
  </si>
  <si>
    <t>Battiss</t>
  </si>
  <si>
    <t>CG</t>
  </si>
  <si>
    <t>Claire</t>
  </si>
  <si>
    <t>Mousa</t>
  </si>
  <si>
    <t>ES</t>
  </si>
  <si>
    <t>Emre</t>
  </si>
  <si>
    <t>Brouwer</t>
  </si>
  <si>
    <t>AD</t>
  </si>
  <si>
    <t>Anita</t>
  </si>
  <si>
    <t>Le Roux</t>
  </si>
  <si>
    <t>GM</t>
  </si>
  <si>
    <t>Morne</t>
  </si>
  <si>
    <t>Seitshiro</t>
  </si>
  <si>
    <t>Arthur</t>
  </si>
  <si>
    <t>Holiday</t>
  </si>
  <si>
    <t>CM</t>
  </si>
  <si>
    <t>Chelarn</t>
  </si>
  <si>
    <t>Dreyer</t>
  </si>
  <si>
    <t>Melanie</t>
  </si>
  <si>
    <t>De Vries</t>
  </si>
  <si>
    <t>D</t>
  </si>
  <si>
    <t>Derek</t>
  </si>
  <si>
    <t>Arries</t>
  </si>
  <si>
    <t>Koos</t>
  </si>
  <si>
    <t>Nakasa</t>
  </si>
  <si>
    <t>Laura</t>
  </si>
  <si>
    <t>Sj</t>
  </si>
  <si>
    <t>Sphilile</t>
  </si>
  <si>
    <t>Gama</t>
  </si>
  <si>
    <t>PEL</t>
  </si>
  <si>
    <t>Phumelele</t>
  </si>
  <si>
    <t>Wissiak Button</t>
  </si>
  <si>
    <t>Elke</t>
  </si>
  <si>
    <t>Levin</t>
  </si>
  <si>
    <t>Selwyn</t>
  </si>
  <si>
    <t>Msomi</t>
  </si>
  <si>
    <t>NB</t>
  </si>
  <si>
    <t>Ntokozo</t>
  </si>
  <si>
    <t>Balintaba</t>
  </si>
  <si>
    <t>Asanda</t>
  </si>
  <si>
    <t>Mngoma</t>
  </si>
  <si>
    <t>NT</t>
  </si>
  <si>
    <t>Ntombizodwa</t>
  </si>
  <si>
    <t>Barker</t>
  </si>
  <si>
    <t>EC</t>
  </si>
  <si>
    <t>Elaine</t>
  </si>
  <si>
    <t>Lebona</t>
  </si>
  <si>
    <t>Caroline</t>
  </si>
  <si>
    <t>Dasi</t>
  </si>
  <si>
    <t>VZ</t>
  </si>
  <si>
    <t>Victor</t>
  </si>
  <si>
    <t>Motseki</t>
  </si>
  <si>
    <t>CD</t>
  </si>
  <si>
    <t>Mantje</t>
  </si>
  <si>
    <t>BI</t>
  </si>
  <si>
    <t>Boitumelo</t>
  </si>
  <si>
    <t>Koki</t>
  </si>
  <si>
    <t>TO</t>
  </si>
  <si>
    <t>Lamont</t>
  </si>
  <si>
    <t>Chestline</t>
  </si>
  <si>
    <t>Chen</t>
  </si>
  <si>
    <t>GE</t>
  </si>
  <si>
    <t>Gideon</t>
  </si>
  <si>
    <t>Hoosen</t>
  </si>
  <si>
    <t>Sahil</t>
  </si>
  <si>
    <t>Mphunyane</t>
  </si>
  <si>
    <t>Mamello</t>
  </si>
  <si>
    <t>Govender</t>
  </si>
  <si>
    <t>NE</t>
  </si>
  <si>
    <t>Nicole</t>
  </si>
  <si>
    <t>Manzini</t>
  </si>
  <si>
    <t>PT</t>
  </si>
  <si>
    <t>Nel</t>
  </si>
  <si>
    <t>JH</t>
  </si>
  <si>
    <t>Van Zyl</t>
  </si>
  <si>
    <t>Oberholzer</t>
  </si>
  <si>
    <t>Corne</t>
  </si>
  <si>
    <t>NM</t>
  </si>
  <si>
    <t>Nobuhleekhabo</t>
  </si>
  <si>
    <t>Chantal</t>
  </si>
  <si>
    <t>Naude</t>
  </si>
  <si>
    <t>DC</t>
  </si>
  <si>
    <t>David</t>
  </si>
  <si>
    <t>Van Schalkwyk</t>
  </si>
  <si>
    <t>Adam</t>
  </si>
  <si>
    <t>Maria</t>
  </si>
  <si>
    <t>Jamneck</t>
  </si>
  <si>
    <t>Lindie</t>
  </si>
  <si>
    <t>Enever</t>
  </si>
  <si>
    <t>Charles</t>
  </si>
  <si>
    <t>Mogoane</t>
  </si>
  <si>
    <t>CJ</t>
  </si>
  <si>
    <t>Charmaine</t>
  </si>
  <si>
    <t>Mahlangu</t>
  </si>
  <si>
    <t>TN</t>
  </si>
  <si>
    <t>Tebogo</t>
  </si>
  <si>
    <t>Maluleka</t>
  </si>
  <si>
    <t>Sibongile</t>
  </si>
  <si>
    <t>Singh</t>
  </si>
  <si>
    <t>Vinesh</t>
  </si>
  <si>
    <t>Weideman</t>
  </si>
  <si>
    <t>SH</t>
  </si>
  <si>
    <t>Shaughn</t>
  </si>
  <si>
    <t>Schoeman</t>
  </si>
  <si>
    <t>LR</t>
  </si>
  <si>
    <t>Louis</t>
  </si>
  <si>
    <t>Dladla</t>
  </si>
  <si>
    <t>PN</t>
  </si>
  <si>
    <t>Princess</t>
  </si>
  <si>
    <t>Mlunguza</t>
  </si>
  <si>
    <t>NP</t>
  </si>
  <si>
    <t>Nomonde</t>
  </si>
  <si>
    <t>Yolande</t>
  </si>
  <si>
    <t>Nkwateni</t>
  </si>
  <si>
    <t>Simphiwe</t>
  </si>
  <si>
    <t>Kenny</t>
  </si>
  <si>
    <t>Shaun</t>
  </si>
  <si>
    <t>Basdewo</t>
  </si>
  <si>
    <t>Nikita</t>
  </si>
  <si>
    <t>Nagel</t>
  </si>
  <si>
    <t>AA</t>
  </si>
  <si>
    <t>Ashleigh</t>
  </si>
  <si>
    <t>Swarts</t>
  </si>
  <si>
    <t>Anton</t>
  </si>
  <si>
    <t>Van Der Spuy</t>
  </si>
  <si>
    <t>Deodat</t>
  </si>
  <si>
    <t>Muller</t>
  </si>
  <si>
    <t>Bezuidenhout</t>
  </si>
  <si>
    <t>JDL</t>
  </si>
  <si>
    <t>Davis</t>
  </si>
  <si>
    <t>Melissa</t>
  </si>
  <si>
    <t>Senekal</t>
  </si>
  <si>
    <t>Leon</t>
  </si>
  <si>
    <t>Bolosha</t>
  </si>
  <si>
    <t>TF</t>
  </si>
  <si>
    <t>Thandeka</t>
  </si>
  <si>
    <t>Davids</t>
  </si>
  <si>
    <t>CI</t>
  </si>
  <si>
    <t>Cindy-jo</t>
  </si>
  <si>
    <t>Neethling</t>
  </si>
  <si>
    <t>Stephanus</t>
  </si>
  <si>
    <t>Van Staden</t>
  </si>
  <si>
    <t>Lelanie</t>
  </si>
  <si>
    <t>Sukhari</t>
  </si>
  <si>
    <t>Cleona</t>
  </si>
  <si>
    <t>Morudu</t>
  </si>
  <si>
    <t>KA</t>
  </si>
  <si>
    <t>Kevin</t>
  </si>
  <si>
    <t>Manzi</t>
  </si>
  <si>
    <t>Pumeza</t>
  </si>
  <si>
    <t>Gogela</t>
  </si>
  <si>
    <t>Phozisa</t>
  </si>
  <si>
    <t>Lugalo</t>
  </si>
  <si>
    <t>Siphokazi</t>
  </si>
  <si>
    <t>Letoporo</t>
  </si>
  <si>
    <t>Nthabeleng</t>
  </si>
  <si>
    <t>Simelane</t>
  </si>
  <si>
    <t>Nompumelelo</t>
  </si>
  <si>
    <t>Bhatti</t>
  </si>
  <si>
    <t>Zarish</t>
  </si>
  <si>
    <t>Sadler</t>
  </si>
  <si>
    <t>Lindeboom</t>
  </si>
  <si>
    <t>KL</t>
  </si>
  <si>
    <t>Yolanda</t>
  </si>
  <si>
    <t>Welsh</t>
  </si>
  <si>
    <t>CW</t>
  </si>
  <si>
    <t>Craig</t>
  </si>
  <si>
    <t>Masanabo</t>
  </si>
  <si>
    <t>Siphiwe</t>
  </si>
  <si>
    <t>Arrenbrecht</t>
  </si>
  <si>
    <t>U</t>
  </si>
  <si>
    <t>Ulrich</t>
  </si>
  <si>
    <t>Glancey</t>
  </si>
  <si>
    <t>Megan</t>
  </si>
  <si>
    <t>MG</t>
  </si>
  <si>
    <t>Malcolm</t>
  </si>
  <si>
    <t>Isaacs</t>
  </si>
  <si>
    <t>Clement</t>
  </si>
  <si>
    <t>Pienaar</t>
  </si>
  <si>
    <t>McLaren</t>
  </si>
  <si>
    <t>Gareth</t>
  </si>
  <si>
    <t>Anoschka</t>
  </si>
  <si>
    <t>Strydom</t>
  </si>
  <si>
    <t>Ursula</t>
  </si>
  <si>
    <t>Mawson</t>
  </si>
  <si>
    <t>Pierre</t>
  </si>
  <si>
    <t>Vermeulen</t>
  </si>
  <si>
    <t>PA</t>
  </si>
  <si>
    <t>Petrus</t>
  </si>
  <si>
    <t>Van Der Berg</t>
  </si>
  <si>
    <t>PFH</t>
  </si>
  <si>
    <t>Fortuin</t>
  </si>
  <si>
    <t>KC</t>
  </si>
  <si>
    <t>Kym-Casey</t>
  </si>
  <si>
    <t>Letsie</t>
  </si>
  <si>
    <t>Diagracia</t>
  </si>
  <si>
    <t>BA</t>
  </si>
  <si>
    <t>Bafana</t>
  </si>
  <si>
    <t>Chinn</t>
  </si>
  <si>
    <t>RT</t>
  </si>
  <si>
    <t>Rodney</t>
  </si>
  <si>
    <t>Sithole</t>
  </si>
  <si>
    <t>Simmonds</t>
  </si>
  <si>
    <t>KAS</t>
  </si>
  <si>
    <t>Lotter</t>
  </si>
  <si>
    <t>Selma</t>
  </si>
  <si>
    <t>Nkabinde</t>
  </si>
  <si>
    <t>Nina</t>
  </si>
  <si>
    <t>Steyl</t>
  </si>
  <si>
    <t>JM</t>
  </si>
  <si>
    <t>Johan</t>
  </si>
  <si>
    <t>Joubert</t>
  </si>
  <si>
    <t>GD</t>
  </si>
  <si>
    <t>Nell</t>
  </si>
  <si>
    <t>Martyn</t>
  </si>
  <si>
    <t>Killian</t>
  </si>
  <si>
    <t>Manson-Kullin</t>
  </si>
  <si>
    <t>Lauren</t>
  </si>
  <si>
    <t>Gabriels</t>
  </si>
  <si>
    <t>Rashequa</t>
  </si>
  <si>
    <t>Fusa</t>
  </si>
  <si>
    <t>Laetisia</t>
  </si>
  <si>
    <t>Katiya</t>
  </si>
  <si>
    <t>Siyabulela</t>
  </si>
  <si>
    <t>Makwabe</t>
  </si>
  <si>
    <t>Zizipho</t>
  </si>
  <si>
    <t>Nesi</t>
  </si>
  <si>
    <t>Nomatamsanqa</t>
  </si>
  <si>
    <t>Mnyamana</t>
  </si>
  <si>
    <t>Nombulelo</t>
  </si>
  <si>
    <t>Mketo</t>
  </si>
  <si>
    <t>Zoliswa</t>
  </si>
  <si>
    <t>Mlumbi</t>
  </si>
  <si>
    <t>Nomalungisa</t>
  </si>
  <si>
    <t>Noack</t>
  </si>
  <si>
    <t>Kim</t>
  </si>
  <si>
    <t>Coetzee</t>
  </si>
  <si>
    <t>Linzelle</t>
  </si>
  <si>
    <t>Van Rensburg</t>
  </si>
  <si>
    <t>Stefanus</t>
  </si>
  <si>
    <t>Immelman</t>
  </si>
  <si>
    <t>MJ</t>
  </si>
  <si>
    <t>Mandy</t>
  </si>
  <si>
    <t>Maree</t>
  </si>
  <si>
    <t>FC</t>
  </si>
  <si>
    <t>Francois</t>
  </si>
  <si>
    <t>Van Schoor</t>
  </si>
  <si>
    <t>Nedine</t>
  </si>
  <si>
    <t>Lombaard</t>
  </si>
  <si>
    <t>Sulette</t>
  </si>
  <si>
    <t>Chuene</t>
  </si>
  <si>
    <t>Dorothy</t>
  </si>
  <si>
    <t>LA</t>
  </si>
  <si>
    <t>Brooks</t>
  </si>
  <si>
    <t>YR</t>
  </si>
  <si>
    <t>Yvette</t>
  </si>
  <si>
    <t>Jenny</t>
  </si>
  <si>
    <t>Werner</t>
  </si>
  <si>
    <t>KS</t>
  </si>
  <si>
    <t>Kylie</t>
  </si>
  <si>
    <t>Thaane</t>
  </si>
  <si>
    <t>Lerato</t>
  </si>
  <si>
    <t>Mvalo</t>
  </si>
  <si>
    <t>TP</t>
  </si>
  <si>
    <t>Thulani</t>
  </si>
  <si>
    <t>Khanye</t>
  </si>
  <si>
    <t>LS</t>
  </si>
  <si>
    <t>Lesego</t>
  </si>
  <si>
    <t>Barrath</t>
  </si>
  <si>
    <t>RM</t>
  </si>
  <si>
    <t>Roxanne</t>
  </si>
  <si>
    <t>Smuts</t>
  </si>
  <si>
    <t>Natasha</t>
  </si>
  <si>
    <t>Lee</t>
  </si>
  <si>
    <t>Van der Merwe</t>
  </si>
  <si>
    <t>Carrie</t>
  </si>
  <si>
    <t>Naidoo</t>
  </si>
  <si>
    <t>Shivani</t>
  </si>
  <si>
    <t>Shamilla</t>
  </si>
  <si>
    <t>Haupt</t>
  </si>
  <si>
    <t>Tatum</t>
  </si>
  <si>
    <t>Malapane</t>
  </si>
  <si>
    <t>Aletta</t>
  </si>
  <si>
    <t>Mosweu</t>
  </si>
  <si>
    <t>Bonolo</t>
  </si>
  <si>
    <t>Juan</t>
  </si>
  <si>
    <t>HB</t>
  </si>
  <si>
    <t>Hendrik</t>
  </si>
  <si>
    <t>Russill</t>
  </si>
  <si>
    <t>Alfred</t>
  </si>
  <si>
    <t>Woods</t>
  </si>
  <si>
    <t>BD</t>
  </si>
  <si>
    <t>Brian</t>
  </si>
  <si>
    <t>Van Der Westhuizen</t>
  </si>
  <si>
    <t>Jaco</t>
  </si>
  <si>
    <t>Mafanyolle</t>
  </si>
  <si>
    <t>Mpho</t>
  </si>
  <si>
    <t>Ragbeer</t>
  </si>
  <si>
    <t>Jitendra</t>
  </si>
  <si>
    <t>Mzila</t>
  </si>
  <si>
    <t>Fezeka</t>
  </si>
  <si>
    <t>Kirosha</t>
  </si>
  <si>
    <t>Qwabe</t>
  </si>
  <si>
    <t>Ncedile</t>
  </si>
  <si>
    <t>Nombuso</t>
  </si>
  <si>
    <t>Wildeman</t>
  </si>
  <si>
    <t>Stephanie</t>
  </si>
  <si>
    <t>Bokelmann</t>
  </si>
  <si>
    <t>Bunding</t>
  </si>
  <si>
    <t>Lee-Ane</t>
  </si>
  <si>
    <t>Sayer</t>
  </si>
  <si>
    <t>Rochelle</t>
  </si>
  <si>
    <t>Booysen</t>
  </si>
  <si>
    <t>Kani</t>
  </si>
  <si>
    <t>Khayakazi</t>
  </si>
  <si>
    <t>Karsten</t>
  </si>
  <si>
    <t>WJB</t>
  </si>
  <si>
    <t>Willow</t>
  </si>
  <si>
    <t>Seboekoe</t>
  </si>
  <si>
    <t>Shirvonia</t>
  </si>
  <si>
    <t>Morolong</t>
  </si>
  <si>
    <t>Kwazinkosi</t>
  </si>
  <si>
    <t>Roberts</t>
  </si>
  <si>
    <t>Deschamps</t>
  </si>
  <si>
    <t>Alleresha</t>
  </si>
  <si>
    <t>Petersen</t>
  </si>
  <si>
    <t>Tamlynne</t>
  </si>
  <si>
    <t>Mabada</t>
  </si>
  <si>
    <t>Tshimangadzo</t>
  </si>
  <si>
    <t>Noorfazia</t>
  </si>
  <si>
    <t>Ramroop</t>
  </si>
  <si>
    <t>Vyaksha</t>
  </si>
  <si>
    <t>Sheik</t>
  </si>
  <si>
    <t>Suaifa</t>
  </si>
  <si>
    <t>Ishwar</t>
  </si>
  <si>
    <t>Kerisha</t>
  </si>
  <si>
    <t>Shameem</t>
  </si>
  <si>
    <t>Rookaya</t>
  </si>
  <si>
    <t>Lentle</t>
  </si>
  <si>
    <t>Magazi</t>
  </si>
  <si>
    <t>YU</t>
  </si>
  <si>
    <t>Yondela</t>
  </si>
  <si>
    <t>Tshabalala</t>
  </si>
  <si>
    <t>Luyanda</t>
  </si>
  <si>
    <t>Hassim</t>
  </si>
  <si>
    <t>Dhilnawaaz</t>
  </si>
  <si>
    <t>Ramaube</t>
  </si>
  <si>
    <t>Tisetso</t>
  </si>
  <si>
    <t>Rabikoosen</t>
  </si>
  <si>
    <t>Serini</t>
  </si>
  <si>
    <t>Madeba</t>
  </si>
  <si>
    <t>Sabata</t>
  </si>
  <si>
    <t>Mogapi</t>
  </si>
  <si>
    <t>Sipho</t>
  </si>
  <si>
    <t>Mokhele</t>
  </si>
  <si>
    <t>Thabiso</t>
  </si>
  <si>
    <t>Khunou</t>
  </si>
  <si>
    <t>Hassan</t>
  </si>
  <si>
    <t>Naseema</t>
  </si>
  <si>
    <t>Tasana</t>
  </si>
  <si>
    <t>Khalipa</t>
  </si>
  <si>
    <t>Momoyi</t>
  </si>
  <si>
    <t>CP</t>
  </si>
  <si>
    <t>Cebisa</t>
  </si>
  <si>
    <t>Gunthorp</t>
  </si>
  <si>
    <t>Andrew</t>
  </si>
  <si>
    <t>Brits</t>
  </si>
  <si>
    <t>DJ</t>
  </si>
  <si>
    <t>Arnold</t>
  </si>
  <si>
    <t>TK</t>
  </si>
  <si>
    <t>Trevor</t>
  </si>
  <si>
    <t>Monareng</t>
  </si>
  <si>
    <t>LK</t>
  </si>
  <si>
    <t>Leticia</t>
  </si>
  <si>
    <t>Mokoa</t>
  </si>
  <si>
    <t>MH</t>
  </si>
  <si>
    <t>Mimi</t>
  </si>
  <si>
    <t>EM</t>
  </si>
  <si>
    <t>Ernest</t>
  </si>
  <si>
    <t>Molosi</t>
  </si>
  <si>
    <t>Zandisile</t>
  </si>
  <si>
    <t>Mokwena</t>
  </si>
  <si>
    <t>Shuwayda</t>
  </si>
  <si>
    <t>Welman</t>
  </si>
  <si>
    <t>Clariska</t>
  </si>
  <si>
    <t>Labuschagne</t>
  </si>
  <si>
    <t>ME</t>
  </si>
  <si>
    <t>Mudau</t>
  </si>
  <si>
    <t>NW</t>
  </si>
  <si>
    <t>Ndivhuwo</t>
  </si>
  <si>
    <t>Van Eeden</t>
  </si>
  <si>
    <t>GHN</t>
  </si>
  <si>
    <t>Gert</t>
  </si>
  <si>
    <t>Ruiters</t>
  </si>
  <si>
    <t>Keshia</t>
  </si>
  <si>
    <t>Madonsela</t>
  </si>
  <si>
    <t>MZ</t>
  </si>
  <si>
    <t>Mbali</t>
  </si>
  <si>
    <t>Ngwenya</t>
  </si>
  <si>
    <t>NO</t>
  </si>
  <si>
    <t>Ishwarduth</t>
  </si>
  <si>
    <t>Sureksha</t>
  </si>
  <si>
    <t>MacDonald</t>
  </si>
  <si>
    <t>Rosalind</t>
  </si>
  <si>
    <t>Seimise</t>
  </si>
  <si>
    <t>DL</t>
  </si>
  <si>
    <t>Dineo</t>
  </si>
  <si>
    <t>Pochee</t>
  </si>
  <si>
    <t>Walia</t>
  </si>
  <si>
    <t>Missra</t>
  </si>
  <si>
    <t>Aarthi</t>
  </si>
  <si>
    <t>Jagtee</t>
  </si>
  <si>
    <t>Roshnee</t>
  </si>
  <si>
    <t>Ragnunan Bechoo</t>
  </si>
  <si>
    <t>Cassandra</t>
  </si>
  <si>
    <t>Watiefa</t>
  </si>
  <si>
    <t>Nundhkumar</t>
  </si>
  <si>
    <t>Sujanta</t>
  </si>
  <si>
    <t>Alexander</t>
  </si>
  <si>
    <t>Kimberly</t>
  </si>
  <si>
    <t>Rose</t>
  </si>
  <si>
    <t>TI</t>
  </si>
  <si>
    <t>Tracey</t>
  </si>
  <si>
    <t>Diedericks</t>
  </si>
  <si>
    <t>Chantalle</t>
  </si>
  <si>
    <t>Menze</t>
  </si>
  <si>
    <t>Pamela</t>
  </si>
  <si>
    <t>Graham</t>
  </si>
  <si>
    <t>TR</t>
  </si>
  <si>
    <t>Timothy</t>
  </si>
  <si>
    <t>Knowles</t>
  </si>
  <si>
    <t>RR</t>
  </si>
  <si>
    <t>Butler</t>
  </si>
  <si>
    <t>JJ</t>
  </si>
  <si>
    <t>Jordan</t>
  </si>
  <si>
    <t>Motsepe</t>
  </si>
  <si>
    <t>MMO</t>
  </si>
  <si>
    <t>Mmathabo</t>
  </si>
  <si>
    <t>Lubisi</t>
  </si>
  <si>
    <t>Carol</t>
  </si>
  <si>
    <t>Kotze</t>
  </si>
  <si>
    <t>Leandra</t>
  </si>
  <si>
    <t>Todlwana</t>
  </si>
  <si>
    <t>GZ</t>
  </si>
  <si>
    <t>Zanele</t>
  </si>
  <si>
    <t>Kgasane</t>
  </si>
  <si>
    <t>Frans</t>
  </si>
  <si>
    <t>Khauli</t>
  </si>
  <si>
    <t>Matisetso</t>
  </si>
  <si>
    <t>Comeroden</t>
  </si>
  <si>
    <t>HU</t>
  </si>
  <si>
    <t>Hercules</t>
  </si>
  <si>
    <t>Viljoen</t>
  </si>
  <si>
    <t>KE</t>
  </si>
  <si>
    <t>Kyle</t>
  </si>
  <si>
    <t>Hack</t>
  </si>
  <si>
    <t>CA</t>
  </si>
  <si>
    <t>Jordaan</t>
  </si>
  <si>
    <t>Justine</t>
  </si>
  <si>
    <t>Counsell</t>
  </si>
  <si>
    <t>Nakita</t>
  </si>
  <si>
    <t>Marr</t>
  </si>
  <si>
    <t>LRP</t>
  </si>
  <si>
    <t>Lisa</t>
  </si>
  <si>
    <t>Mkwane</t>
  </si>
  <si>
    <t>NG</t>
  </si>
  <si>
    <t>Nolwazi</t>
  </si>
  <si>
    <t>Dagane</t>
  </si>
  <si>
    <t>Sphiwe</t>
  </si>
  <si>
    <t>Lottering</t>
  </si>
  <si>
    <t>RN</t>
  </si>
  <si>
    <t>Robyn</t>
  </si>
  <si>
    <t>Mogano</t>
  </si>
  <si>
    <t>Mmapelo</t>
  </si>
  <si>
    <t>Molokoane</t>
  </si>
  <si>
    <t>KEE</t>
  </si>
  <si>
    <t>Kati</t>
  </si>
  <si>
    <t>Ndou</t>
  </si>
  <si>
    <t>HR</t>
  </si>
  <si>
    <t>Hangwelani</t>
  </si>
  <si>
    <t>Mayet</t>
  </si>
  <si>
    <t>Aadil</t>
  </si>
  <si>
    <t>Exelby</t>
  </si>
  <si>
    <t>Shelley</t>
  </si>
  <si>
    <t>Stedman</t>
  </si>
  <si>
    <t>Sean</t>
  </si>
  <si>
    <t>Nthejane</t>
  </si>
  <si>
    <t>Kamohelo</t>
  </si>
  <si>
    <t>Penya</t>
  </si>
  <si>
    <t>Dhlamini</t>
  </si>
  <si>
    <t>Ntombikayise</t>
  </si>
  <si>
    <t>Masango</t>
  </si>
  <si>
    <t>Kopano</t>
  </si>
  <si>
    <t>Phillips</t>
  </si>
  <si>
    <t>Sade</t>
  </si>
  <si>
    <t>Edgar</t>
  </si>
  <si>
    <t>Nongauza</t>
  </si>
  <si>
    <t>AE</t>
  </si>
  <si>
    <t>Athole</t>
  </si>
  <si>
    <t>Mlangeni</t>
  </si>
  <si>
    <t>Bongani</t>
  </si>
  <si>
    <t>Dickson</t>
  </si>
  <si>
    <t>Henriette</t>
  </si>
  <si>
    <t>Ramcharan</t>
  </si>
  <si>
    <t>Shaan</t>
  </si>
  <si>
    <t>Ndobe</t>
  </si>
  <si>
    <t>Rogers</t>
  </si>
  <si>
    <t>Matthew</t>
  </si>
  <si>
    <t>Ngcobo</t>
  </si>
  <si>
    <t>NC</t>
  </si>
  <si>
    <t>Nandipha</t>
  </si>
  <si>
    <t>Hendriks</t>
  </si>
  <si>
    <t>BC</t>
  </si>
  <si>
    <t>Braunwynn</t>
  </si>
  <si>
    <t>Myeki</t>
  </si>
  <si>
    <t>Nangamso</t>
  </si>
  <si>
    <t>Thomas</t>
  </si>
  <si>
    <t>Kinnes</t>
  </si>
  <si>
    <t>DT</t>
  </si>
  <si>
    <t>Dylan</t>
  </si>
  <si>
    <t>Mafu</t>
  </si>
  <si>
    <t>Zietsman</t>
  </si>
  <si>
    <t>Mariska</t>
  </si>
  <si>
    <t>Batandwa</t>
  </si>
  <si>
    <t>Maduray</t>
  </si>
  <si>
    <t>Gina</t>
  </si>
  <si>
    <t>Ingrid</t>
  </si>
  <si>
    <t>Dixon</t>
  </si>
  <si>
    <t>Renee</t>
  </si>
  <si>
    <t>Mabulana</t>
  </si>
  <si>
    <t>Cassius</t>
  </si>
  <si>
    <t>Ndaba</t>
  </si>
  <si>
    <t>KP</t>
  </si>
  <si>
    <t>Keneilwe</t>
  </si>
  <si>
    <t>Sehlogo</t>
  </si>
  <si>
    <t>Nthabiseng</t>
  </si>
  <si>
    <t>Joyisi</t>
  </si>
  <si>
    <t>Whezile</t>
  </si>
  <si>
    <t>Maswanganyi</t>
  </si>
  <si>
    <t>Tshepiso</t>
  </si>
  <si>
    <t>Brink</t>
  </si>
  <si>
    <t>Kroukamp</t>
  </si>
  <si>
    <t>Dalvie</t>
  </si>
  <si>
    <t>Badrunisa</t>
  </si>
  <si>
    <t>Fok</t>
  </si>
  <si>
    <t>NL</t>
  </si>
  <si>
    <t>Khalo</t>
  </si>
  <si>
    <t>Mzwandile</t>
  </si>
  <si>
    <t>Mafodi</t>
  </si>
  <si>
    <t>Matshepo</t>
  </si>
  <si>
    <t>Matthews</t>
  </si>
  <si>
    <t>HC</t>
  </si>
  <si>
    <t>Heledene</t>
  </si>
  <si>
    <t>Abed</t>
  </si>
  <si>
    <t>Naeem</t>
  </si>
  <si>
    <t>Mlimi</t>
  </si>
  <si>
    <t>Jacqueline</t>
  </si>
  <si>
    <t>Violan</t>
  </si>
  <si>
    <t>Kistan</t>
  </si>
  <si>
    <t>Keryn-Leigh</t>
  </si>
  <si>
    <t>Martinus</t>
  </si>
  <si>
    <t>LJ</t>
  </si>
  <si>
    <t>Daniella</t>
  </si>
  <si>
    <t>Chetty</t>
  </si>
  <si>
    <t>RL</t>
  </si>
  <si>
    <t>Ricodia</t>
  </si>
  <si>
    <t>Portia</t>
  </si>
  <si>
    <t>Mlambo</t>
  </si>
  <si>
    <t>Thulisile</t>
  </si>
  <si>
    <t>Vosloo</t>
  </si>
  <si>
    <t>Paul</t>
  </si>
  <si>
    <t>Hewartson</t>
  </si>
  <si>
    <t>DW</t>
  </si>
  <si>
    <t>Denis</t>
  </si>
  <si>
    <t>Mhlongo</t>
  </si>
  <si>
    <t>NK</t>
  </si>
  <si>
    <t>Nkosingiphile</t>
  </si>
  <si>
    <t>Mabaso</t>
  </si>
  <si>
    <t>NZ</t>
  </si>
  <si>
    <t>Nozwelakhe</t>
  </si>
  <si>
    <t>Mabena</t>
  </si>
  <si>
    <t>TG</t>
  </si>
  <si>
    <t>Thokozile</t>
  </si>
  <si>
    <t>Khauoe</t>
  </si>
  <si>
    <t>Tabita</t>
  </si>
  <si>
    <t>ZS</t>
  </si>
  <si>
    <t>Le Grange</t>
  </si>
  <si>
    <t>Chanelle</t>
  </si>
  <si>
    <t>Wesley</t>
  </si>
  <si>
    <t>Basson</t>
  </si>
  <si>
    <t>AW</t>
  </si>
  <si>
    <t>Lee-Andro</t>
  </si>
  <si>
    <t>Van Der Merwe</t>
  </si>
  <si>
    <t>De Groot</t>
  </si>
  <si>
    <t>JN</t>
  </si>
  <si>
    <t>Kumar</t>
  </si>
  <si>
    <t>Fariyaal</t>
  </si>
  <si>
    <t>Easthorpe</t>
  </si>
  <si>
    <t>Meagan</t>
  </si>
  <si>
    <t>ND</t>
  </si>
  <si>
    <t>Nosipho</t>
  </si>
  <si>
    <t>Reddy</t>
  </si>
  <si>
    <t>Laeticia</t>
  </si>
  <si>
    <t>Kissoonlal</t>
  </si>
  <si>
    <t>Kamisha</t>
  </si>
  <si>
    <t>Buthelezi</t>
  </si>
  <si>
    <t>SM</t>
  </si>
  <si>
    <t>Sboniso</t>
  </si>
  <si>
    <t>Innocent</t>
  </si>
  <si>
    <t>Songo</t>
  </si>
  <si>
    <t>Thobani</t>
  </si>
  <si>
    <t>Nsele</t>
  </si>
  <si>
    <t>Mini</t>
  </si>
  <si>
    <t>Lindikhaya</t>
  </si>
  <si>
    <t>Mthoba</t>
  </si>
  <si>
    <t>Noluthando</t>
  </si>
  <si>
    <t>YN</t>
  </si>
  <si>
    <t>Sheik Mahomed</t>
  </si>
  <si>
    <t>Rayhan</t>
  </si>
  <si>
    <t>Khitsane</t>
  </si>
  <si>
    <t>RH</t>
  </si>
  <si>
    <t>Rebecca</t>
  </si>
  <si>
    <t>Duiker</t>
  </si>
  <si>
    <t>KM</t>
  </si>
  <si>
    <t>Katleho</t>
  </si>
  <si>
    <t>Madela</t>
  </si>
  <si>
    <t>Makhosazana</t>
  </si>
  <si>
    <t>Mncama</t>
  </si>
  <si>
    <t>Potwana</t>
  </si>
  <si>
    <t>Amanda</t>
  </si>
  <si>
    <t xml:space="preserve"> Tatum</t>
  </si>
  <si>
    <t>Pege</t>
  </si>
  <si>
    <t>Kelebogile</t>
  </si>
  <si>
    <t>Nomsa</t>
  </si>
  <si>
    <t>Cindi</t>
  </si>
  <si>
    <t>Phiri</t>
  </si>
  <si>
    <t>Kutloano</t>
  </si>
  <si>
    <t>Zakithi</t>
  </si>
  <si>
    <t>Mokatsane</t>
  </si>
  <si>
    <t>Zulema</t>
  </si>
  <si>
    <t>Edith</t>
  </si>
  <si>
    <t>Legwale</t>
  </si>
  <si>
    <t>Samson</t>
  </si>
  <si>
    <t>Jaylon</t>
  </si>
  <si>
    <t>Mashiane</t>
  </si>
  <si>
    <t>Leah</t>
  </si>
  <si>
    <t>Motloutsi</t>
  </si>
  <si>
    <t>Karabo</t>
  </si>
  <si>
    <t>Mphunyana</t>
  </si>
  <si>
    <t>Potso</t>
  </si>
  <si>
    <t>Thabang</t>
  </si>
  <si>
    <t>Lucia</t>
  </si>
  <si>
    <t>Mahamba</t>
  </si>
  <si>
    <t>Tebatso</t>
  </si>
  <si>
    <t>Sarkhot</t>
  </si>
  <si>
    <t>Nabeela</t>
  </si>
  <si>
    <t>Kheswa</t>
  </si>
  <si>
    <t>Ngubane</t>
  </si>
  <si>
    <t>Puleng</t>
  </si>
  <si>
    <t>LE</t>
  </si>
  <si>
    <t>Ntshangase</t>
  </si>
  <si>
    <t>Lethokuhle</t>
  </si>
  <si>
    <t>Tlhapuletsa</t>
  </si>
  <si>
    <t>Mohau</t>
  </si>
  <si>
    <t>JB</t>
  </si>
  <si>
    <t>Jani</t>
  </si>
  <si>
    <t>Ngobeni</t>
  </si>
  <si>
    <t>Enock</t>
  </si>
  <si>
    <t>Merriman</t>
  </si>
  <si>
    <t>Celeste</t>
  </si>
  <si>
    <t>Nkadimeng</t>
  </si>
  <si>
    <t>MN</t>
  </si>
  <si>
    <t>Mathapelo</t>
  </si>
  <si>
    <t>Sebeela</t>
  </si>
  <si>
    <t>IP</t>
  </si>
  <si>
    <t>Gysman</t>
  </si>
  <si>
    <t>Claudine</t>
  </si>
  <si>
    <t>Mokoena</t>
  </si>
  <si>
    <t>LL</t>
  </si>
  <si>
    <t>Lebohang</t>
  </si>
  <si>
    <t>Dikgale</t>
  </si>
  <si>
    <t>Disego</t>
  </si>
  <si>
    <t>Carlinsky</t>
  </si>
  <si>
    <t>Angelique</t>
  </si>
  <si>
    <t>Ndlovu</t>
  </si>
  <si>
    <t>Khensani</t>
  </si>
  <si>
    <t>KJ</t>
  </si>
  <si>
    <t>Mothone</t>
  </si>
  <si>
    <t>Martina</t>
  </si>
  <si>
    <t>Vilikazi</t>
  </si>
  <si>
    <t>Siyabonga</t>
  </si>
  <si>
    <t>Gulube</t>
  </si>
  <si>
    <t>Mchunu</t>
  </si>
  <si>
    <t>GP</t>
  </si>
  <si>
    <t>Gugu</t>
  </si>
  <si>
    <t>Coetzer</t>
  </si>
  <si>
    <t>PWJ</t>
  </si>
  <si>
    <t>IE</t>
  </si>
  <si>
    <t>Isabella</t>
  </si>
  <si>
    <t>Ciyana</t>
  </si>
  <si>
    <t>Zamikhaya</t>
  </si>
  <si>
    <t>Jantjies</t>
  </si>
  <si>
    <t>Fabian</t>
  </si>
  <si>
    <t>Mintoor</t>
  </si>
  <si>
    <t>Gainore</t>
  </si>
  <si>
    <t>Meyer</t>
  </si>
  <si>
    <t>Wessels</t>
  </si>
  <si>
    <t>Janice</t>
  </si>
  <si>
    <t>Jonkers</t>
  </si>
  <si>
    <t>LV</t>
  </si>
  <si>
    <t>Mapeyi</t>
  </si>
  <si>
    <t>PW</t>
  </si>
  <si>
    <t>Proctor</t>
  </si>
  <si>
    <t>Mthwana</t>
  </si>
  <si>
    <t>Mketsu</t>
  </si>
  <si>
    <t>Siyanda</t>
  </si>
  <si>
    <t>Darryl</t>
  </si>
  <si>
    <t>Deon</t>
  </si>
  <si>
    <t>Cekiso-Bono</t>
  </si>
  <si>
    <t>TC</t>
  </si>
  <si>
    <t>Erfaan</t>
  </si>
  <si>
    <t>Leepile</t>
  </si>
  <si>
    <t>Letshego</t>
  </si>
  <si>
    <t>Peters</t>
  </si>
  <si>
    <t>Dane</t>
  </si>
  <si>
    <t>Koetaan</t>
  </si>
  <si>
    <t>Luciano</t>
  </si>
  <si>
    <t>Matlhare</t>
  </si>
  <si>
    <t>Tshiamiso</t>
  </si>
  <si>
    <t>Jaymie-Lee</t>
  </si>
  <si>
    <t>Anthony</t>
  </si>
  <si>
    <t>CN</t>
  </si>
  <si>
    <t>Charne</t>
  </si>
  <si>
    <t>May</t>
  </si>
  <si>
    <t>Elmarie</t>
  </si>
  <si>
    <t>Volschenk</t>
  </si>
  <si>
    <t>Marisa</t>
  </si>
  <si>
    <t>Makhanya</t>
  </si>
  <si>
    <t>Ndumiso</t>
  </si>
  <si>
    <t>Dlali</t>
  </si>
  <si>
    <t>Nomfanelo</t>
  </si>
  <si>
    <t>Maluka</t>
  </si>
  <si>
    <t>Fisch</t>
  </si>
  <si>
    <t>Llewellyn</t>
  </si>
  <si>
    <t>Gamede</t>
  </si>
  <si>
    <t>Khanyisile</t>
  </si>
  <si>
    <t>Mohoni</t>
  </si>
  <si>
    <t>Morobela</t>
  </si>
  <si>
    <t>Ramalefane</t>
  </si>
  <si>
    <t>HH</t>
  </si>
  <si>
    <t>Henry</t>
  </si>
  <si>
    <t>Cook</t>
  </si>
  <si>
    <t>Buchner</t>
  </si>
  <si>
    <t>BU</t>
  </si>
  <si>
    <t>Bjorn</t>
  </si>
  <si>
    <t>Kurt</t>
  </si>
  <si>
    <t>Zanna</t>
  </si>
  <si>
    <t>Cox</t>
  </si>
  <si>
    <t>Gower</t>
  </si>
  <si>
    <t>Deryse</t>
  </si>
  <si>
    <t>Taynita</t>
  </si>
  <si>
    <t>Vurishka</t>
  </si>
  <si>
    <t>Adonis</t>
  </si>
  <si>
    <t>Von Hoesslin</t>
  </si>
  <si>
    <t>Scott</t>
  </si>
  <si>
    <t>Graca</t>
  </si>
  <si>
    <t>Marco</t>
  </si>
  <si>
    <t>Taylor</t>
  </si>
  <si>
    <t>Molefe</t>
  </si>
  <si>
    <t>Kedidimetse</t>
  </si>
  <si>
    <t>Erasmus</t>
  </si>
  <si>
    <t>Dominque</t>
  </si>
  <si>
    <t>TD</t>
  </si>
  <si>
    <t>Troy</t>
  </si>
  <si>
    <t>Moko</t>
  </si>
  <si>
    <t>Maureen</t>
  </si>
  <si>
    <t>Mahmood</t>
  </si>
  <si>
    <t>Pule</t>
  </si>
  <si>
    <t>GT</t>
  </si>
  <si>
    <t>Godracious</t>
  </si>
  <si>
    <t>Gulston</t>
  </si>
  <si>
    <t>Jonathan</t>
  </si>
  <si>
    <t>Mavis</t>
  </si>
  <si>
    <t>Mokoaqatsa</t>
  </si>
  <si>
    <t>Tshegofatso</t>
  </si>
  <si>
    <t>Mogotlane</t>
  </si>
  <si>
    <t>Malope</t>
  </si>
  <si>
    <t>Zulu</t>
  </si>
  <si>
    <t>Veronica</t>
  </si>
  <si>
    <t>Mashile</t>
  </si>
  <si>
    <t>Nozuko</t>
  </si>
  <si>
    <t>Lembede</t>
  </si>
  <si>
    <t>Mohan</t>
  </si>
  <si>
    <t>Shanice</t>
  </si>
  <si>
    <t>Hurka</t>
  </si>
  <si>
    <t>Netika</t>
  </si>
  <si>
    <t>van der westhuizen</t>
  </si>
  <si>
    <t>Simon</t>
  </si>
  <si>
    <t>Maluleke</t>
  </si>
  <si>
    <t>Jacobeth</t>
  </si>
  <si>
    <t>Moleli</t>
  </si>
  <si>
    <t>Barbara</t>
  </si>
  <si>
    <t>Xolela</t>
  </si>
  <si>
    <t>Vinqi</t>
  </si>
  <si>
    <t>Wasserman</t>
  </si>
  <si>
    <t>Chaune</t>
  </si>
  <si>
    <t>Keagan</t>
  </si>
  <si>
    <t>Amod</t>
  </si>
  <si>
    <t>Mohamed</t>
  </si>
  <si>
    <t>Mazibuko</t>
  </si>
  <si>
    <t>Fernandez</t>
  </si>
  <si>
    <t>Leigh-Ann</t>
  </si>
  <si>
    <t>Duvenage</t>
  </si>
  <si>
    <t>MT</t>
  </si>
  <si>
    <t>Sekete</t>
  </si>
  <si>
    <t>Masilo</t>
  </si>
  <si>
    <t>Amy</t>
  </si>
  <si>
    <t>Martin</t>
  </si>
  <si>
    <t>Bryce</t>
  </si>
  <si>
    <t>Day</t>
  </si>
  <si>
    <t>Willem</t>
  </si>
  <si>
    <t>Pandya</t>
  </si>
  <si>
    <t>Divij</t>
  </si>
  <si>
    <t>Liebenberg</t>
  </si>
  <si>
    <t>Brown</t>
  </si>
  <si>
    <t>Nicholas</t>
  </si>
  <si>
    <t>Wood</t>
  </si>
  <si>
    <t>HMC</t>
  </si>
  <si>
    <t>Hester</t>
  </si>
  <si>
    <t>Gall</t>
  </si>
  <si>
    <t>van Niekerk</t>
  </si>
  <si>
    <t>Roux</t>
  </si>
  <si>
    <t>Wolmarans</t>
  </si>
  <si>
    <t>Loubser</t>
  </si>
  <si>
    <t>du Plessis</t>
  </si>
  <si>
    <t>Westmoreland</t>
  </si>
  <si>
    <t>Lekgela</t>
  </si>
  <si>
    <t>KW</t>
  </si>
  <si>
    <t>Kgotso</t>
  </si>
  <si>
    <t>Calvin</t>
  </si>
  <si>
    <t>Suliman</t>
  </si>
  <si>
    <t>Irshad</t>
  </si>
  <si>
    <t>Ramsamy</t>
  </si>
  <si>
    <t>Molokomme</t>
  </si>
  <si>
    <t>VK</t>
  </si>
  <si>
    <t>Valentine</t>
  </si>
  <si>
    <t>Seabela</t>
  </si>
  <si>
    <t>MR</t>
  </si>
  <si>
    <t>Mokutu</t>
  </si>
  <si>
    <t>Moyo</t>
  </si>
  <si>
    <t>Bretlady</t>
  </si>
  <si>
    <t>Wax</t>
  </si>
  <si>
    <t>Daneito</t>
  </si>
  <si>
    <t>Leballo</t>
  </si>
  <si>
    <t>Kamogelo</t>
  </si>
  <si>
    <t>VJ</t>
  </si>
  <si>
    <t>Vusumuzi</t>
  </si>
  <si>
    <t>Mashupye</t>
  </si>
  <si>
    <t>Kenanawo</t>
  </si>
  <si>
    <t>Chauke</t>
  </si>
  <si>
    <t>Aphane</t>
  </si>
  <si>
    <t>Mmabatho</t>
  </si>
  <si>
    <t>Kalipa</t>
  </si>
  <si>
    <t>Azande</t>
  </si>
  <si>
    <t>Mbewu</t>
  </si>
  <si>
    <t>Zintte</t>
  </si>
  <si>
    <t>Leonard</t>
  </si>
  <si>
    <t>JG</t>
  </si>
  <si>
    <t>James</t>
  </si>
  <si>
    <t>Mutloatse</t>
  </si>
  <si>
    <t>Mbele</t>
  </si>
  <si>
    <t>Nandi</t>
  </si>
  <si>
    <t>Kilian</t>
  </si>
  <si>
    <t>Botha</t>
  </si>
  <si>
    <t>Thebe</t>
  </si>
  <si>
    <t>Primrose</t>
  </si>
  <si>
    <t>van Vuuren</t>
  </si>
  <si>
    <t>Tamlyn</t>
  </si>
  <si>
    <t>Cassim</t>
  </si>
  <si>
    <t>O</t>
  </si>
  <si>
    <t>Omar</t>
  </si>
  <si>
    <t>Tshiya</t>
  </si>
  <si>
    <t>Bosman</t>
  </si>
  <si>
    <t>AC</t>
  </si>
  <si>
    <t>Ashwin</t>
  </si>
  <si>
    <t>Balram</t>
  </si>
  <si>
    <t>Asheel</t>
  </si>
  <si>
    <t>Shivanee</t>
  </si>
  <si>
    <t>Divashnee</t>
  </si>
  <si>
    <t>Pretorius</t>
  </si>
  <si>
    <t>Nadia</t>
  </si>
  <si>
    <t>Simone</t>
  </si>
  <si>
    <t>Ngema</t>
  </si>
  <si>
    <t>SW</t>
  </si>
  <si>
    <t>Sisanda</t>
  </si>
  <si>
    <t>Saiyuri</t>
  </si>
  <si>
    <t>Chamane</t>
  </si>
  <si>
    <t>Ramsunder</t>
  </si>
  <si>
    <t>Yeshil</t>
  </si>
  <si>
    <t>Harrichunder</t>
  </si>
  <si>
    <t>Bhaveshka</t>
  </si>
  <si>
    <t>Mathebe</t>
  </si>
  <si>
    <t>Rachel</t>
  </si>
  <si>
    <t>van Amsterdam</t>
  </si>
  <si>
    <t>Danielle</t>
  </si>
  <si>
    <t>DKF</t>
  </si>
  <si>
    <t>Mandindi</t>
  </si>
  <si>
    <t>Phankamisa</t>
  </si>
  <si>
    <t>PS</t>
  </si>
  <si>
    <t>Malaza</t>
  </si>
  <si>
    <t>LB</t>
  </si>
  <si>
    <t>Amukelani</t>
  </si>
  <si>
    <t>AV</t>
  </si>
  <si>
    <t>Janse van Vuuren</t>
  </si>
  <si>
    <t>Kayla</t>
  </si>
  <si>
    <t>Tanya</t>
  </si>
  <si>
    <t>Barnes</t>
  </si>
  <si>
    <t>Naziema</t>
  </si>
  <si>
    <t>van der Merwe</t>
  </si>
  <si>
    <t>Hanro</t>
  </si>
  <si>
    <t>van Aurich</t>
  </si>
  <si>
    <t>Phutiyagae</t>
  </si>
  <si>
    <t>Mongwabone</t>
  </si>
  <si>
    <t>Zimba</t>
  </si>
  <si>
    <t>Sifiso</t>
  </si>
  <si>
    <t>Mphane</t>
  </si>
  <si>
    <t>Atlegang</t>
  </si>
  <si>
    <t>AB</t>
  </si>
  <si>
    <t>Thandi</t>
  </si>
  <si>
    <t>TV</t>
  </si>
  <si>
    <t>Thonifho</t>
  </si>
  <si>
    <t>Mahommed</t>
  </si>
  <si>
    <t>Nasreen</t>
  </si>
  <si>
    <t>Lamalettie</t>
  </si>
  <si>
    <t>Jamie</t>
  </si>
  <si>
    <t>Adrienne-Leigh</t>
  </si>
  <si>
    <t>Essop</t>
  </si>
  <si>
    <t>Farnaaz</t>
  </si>
  <si>
    <t>Naidu</t>
  </si>
  <si>
    <t>Mitesha</t>
  </si>
  <si>
    <t>Hirjee</t>
  </si>
  <si>
    <t>Sherwyn</t>
  </si>
  <si>
    <t>Hurri</t>
  </si>
  <si>
    <t>Sheetal</t>
  </si>
  <si>
    <t>Mpanza</t>
  </si>
  <si>
    <t>Nokwanda</t>
  </si>
  <si>
    <t>Minnaar</t>
  </si>
  <si>
    <t>Philippus</t>
  </si>
  <si>
    <t>Jared</t>
  </si>
  <si>
    <t>Sabelo</t>
  </si>
  <si>
    <t>Jabulani</t>
  </si>
  <si>
    <t>Lungile</t>
  </si>
  <si>
    <t>Vilakazi</t>
  </si>
  <si>
    <t>Thembeka</t>
  </si>
  <si>
    <t>Sekonyela</t>
  </si>
  <si>
    <t>LT</t>
  </si>
  <si>
    <t>Lesedi</t>
  </si>
  <si>
    <t>Kgoadi</t>
  </si>
  <si>
    <t>Lekgoane</t>
  </si>
  <si>
    <t>Reagile</t>
  </si>
  <si>
    <t>RO</t>
  </si>
  <si>
    <t>Cupido</t>
  </si>
  <si>
    <t>Jocelyn</t>
  </si>
  <si>
    <t>Stacey</t>
  </si>
  <si>
    <t>Aimee Lee</t>
  </si>
  <si>
    <t>Motlhlale</t>
  </si>
  <si>
    <t>George</t>
  </si>
  <si>
    <t>Matjila</t>
  </si>
  <si>
    <t>M01473</t>
  </si>
  <si>
    <t>D03 - Director</t>
  </si>
  <si>
    <t>Theo</t>
  </si>
  <si>
    <t>M01474</t>
  </si>
  <si>
    <t>Lillian</t>
  </si>
  <si>
    <t>Dlamini</t>
  </si>
  <si>
    <t>Challey</t>
  </si>
  <si>
    <t>M01477</t>
  </si>
  <si>
    <t>Tambi</t>
  </si>
  <si>
    <t>JE</t>
  </si>
  <si>
    <t>Young</t>
  </si>
  <si>
    <t>Els</t>
  </si>
  <si>
    <t>Oloff</t>
  </si>
  <si>
    <t>OC</t>
  </si>
  <si>
    <t>Visagie</t>
  </si>
  <si>
    <t xml:space="preserve">Schalk </t>
  </si>
  <si>
    <t>Maholwana</t>
  </si>
  <si>
    <t>Sakha</t>
  </si>
  <si>
    <t>SS</t>
  </si>
  <si>
    <t>Ross</t>
  </si>
  <si>
    <t>GJ</t>
  </si>
  <si>
    <t>Nhlapo</t>
  </si>
  <si>
    <t>Vukani</t>
  </si>
  <si>
    <t>Dhawakieram</t>
  </si>
  <si>
    <t>Retesh</t>
  </si>
  <si>
    <t>Sono</t>
  </si>
  <si>
    <t>Shirley</t>
  </si>
  <si>
    <t>Govan</t>
  </si>
  <si>
    <t>Beejal</t>
  </si>
  <si>
    <t>M01487</t>
  </si>
  <si>
    <t>Hassen</t>
  </si>
  <si>
    <t>Muhammed</t>
  </si>
  <si>
    <t>Strauss</t>
  </si>
  <si>
    <t>Tamzin</t>
  </si>
  <si>
    <t>Hubbard</t>
  </si>
  <si>
    <t>Shelley Anne</t>
  </si>
  <si>
    <t>Kowlasseur</t>
  </si>
  <si>
    <t>Akhil</t>
  </si>
  <si>
    <t>Pinnock</t>
  </si>
  <si>
    <t>Shackleford</t>
  </si>
  <si>
    <t>SK</t>
  </si>
  <si>
    <t>Shayen</t>
  </si>
  <si>
    <t>Mpaka</t>
  </si>
  <si>
    <t>Moeketsi</t>
  </si>
  <si>
    <t>Mashua</t>
  </si>
  <si>
    <t>Mashudu</t>
  </si>
  <si>
    <t>Motsoeneng</t>
  </si>
  <si>
    <t>Ramoshaba</t>
  </si>
  <si>
    <t>BM</t>
  </si>
  <si>
    <t>Mathetsa</t>
  </si>
  <si>
    <t>Makatisi</t>
  </si>
  <si>
    <t>Modikwe</t>
  </si>
  <si>
    <t>MF</t>
  </si>
  <si>
    <t>Makhubedu</t>
  </si>
  <si>
    <t>Khabane</t>
  </si>
  <si>
    <t>Shini</t>
  </si>
  <si>
    <t>FK</t>
  </si>
  <si>
    <t>Fridah</t>
  </si>
  <si>
    <t>Tau</t>
  </si>
  <si>
    <t>Sebueng</t>
  </si>
  <si>
    <t>Segage</t>
  </si>
  <si>
    <t>M01505</t>
  </si>
  <si>
    <t>Alberts</t>
  </si>
  <si>
    <t>Letitia</t>
  </si>
  <si>
    <t xml:space="preserve">Total </t>
  </si>
  <si>
    <t>Employee Movement</t>
  </si>
  <si>
    <t>Period</t>
  </si>
  <si>
    <t>Effective Date</t>
  </si>
  <si>
    <t>Entity Type</t>
  </si>
  <si>
    <t>Entity Sub Type</t>
  </si>
  <si>
    <t>Title</t>
  </si>
  <si>
    <t>Date of Birth</t>
  </si>
  <si>
    <t xml:space="preserve">Employee Status </t>
  </si>
  <si>
    <t>Tax Number</t>
  </si>
  <si>
    <t>Tax Status</t>
  </si>
  <si>
    <t>UIF Status</t>
  </si>
  <si>
    <t>Company</t>
  </si>
  <si>
    <t>Job Grade</t>
  </si>
  <si>
    <t>Primary Position</t>
  </si>
  <si>
    <t>Reports To Employee</t>
  </si>
  <si>
    <t>Period Salary</t>
  </si>
  <si>
    <t>Annual Salary</t>
  </si>
  <si>
    <t>Increase Reason</t>
  </si>
  <si>
    <t>Nature of Contract</t>
  </si>
  <si>
    <t>100</t>
  </si>
  <si>
    <t xml:space="preserve">31/08/2017 (6 OF 12) August (History) </t>
  </si>
  <si>
    <t>Individual</t>
  </si>
  <si>
    <t>Employee</t>
  </si>
  <si>
    <t>7510035098087</t>
  </si>
  <si>
    <t/>
  </si>
  <si>
    <t>3189376142</t>
  </si>
  <si>
    <t>ST - Statutory Tables</t>
  </si>
  <si>
    <t>UIF - UIF</t>
  </si>
  <si>
    <t>MANGO_AIRLINES - Mango Airlines</t>
  </si>
  <si>
    <t>GROUND_SUPPORT - Ground Support</t>
  </si>
  <si>
    <t>SKILLED - 4 - Skilled technical</t>
  </si>
  <si>
    <t>M00202 - Mr CB Hutchings</t>
  </si>
  <si>
    <t>ANNUAL - Annual Increase</t>
  </si>
  <si>
    <t>101</t>
  </si>
  <si>
    <t>MISS</t>
  </si>
  <si>
    <t>9302040078082</t>
  </si>
  <si>
    <t>3969591159</t>
  </si>
  <si>
    <t>CABIN_CREW - Cabin Crew</t>
  </si>
  <si>
    <t>B5 - B5 Upper</t>
  </si>
  <si>
    <t>M00634 - Miss Y Brand</t>
  </si>
  <si>
    <t>1014</t>
  </si>
  <si>
    <t>DR</t>
  </si>
  <si>
    <t>EC - End of Contract</t>
  </si>
  <si>
    <t>BOARD_MEMBERS - Board Members</t>
  </si>
  <si>
    <t>PERM - Permanent</t>
  </si>
  <si>
    <t>102</t>
  </si>
  <si>
    <t>9104060093086</t>
  </si>
  <si>
    <t>0565820164</t>
  </si>
  <si>
    <t>ADMINISTRATION - Administration</t>
  </si>
  <si>
    <t>PROF - 3 - Professionally Qualified</t>
  </si>
  <si>
    <t>M00399 - Mr AJ Rucastle</t>
  </si>
  <si>
    <t>103</t>
  </si>
  <si>
    <t>6206175021085</t>
  </si>
  <si>
    <t>0365146646</t>
  </si>
  <si>
    <t>M00779 - Mr BA Skosana</t>
  </si>
  <si>
    <t>104</t>
  </si>
  <si>
    <t>6608265030084</t>
  </si>
  <si>
    <t>0568073845</t>
  </si>
  <si>
    <t>FLIGHT_DECK - Fligh Deck</t>
  </si>
  <si>
    <t>M00861 - Mr J Naude</t>
  </si>
  <si>
    <t>1047</t>
  </si>
  <si>
    <t>8811175140088</t>
  </si>
  <si>
    <t>0805488145</t>
  </si>
  <si>
    <t>1048</t>
  </si>
  <si>
    <t>8104205006085</t>
  </si>
  <si>
    <t>0546421157</t>
  </si>
  <si>
    <t>1049</t>
  </si>
  <si>
    <t>7705315502085</t>
  </si>
  <si>
    <t>0834785149</t>
  </si>
  <si>
    <t>105</t>
  </si>
  <si>
    <t>7003105069089</t>
  </si>
  <si>
    <t>2999129204</t>
  </si>
  <si>
    <t>1050</t>
  </si>
  <si>
    <t>7805285009085</t>
  </si>
  <si>
    <t>0498157155</t>
  </si>
  <si>
    <t>106</t>
  </si>
  <si>
    <t>9407210057087</t>
  </si>
  <si>
    <t>3533168161</t>
  </si>
  <si>
    <t>SEMI_SKILLED - 5 - Semi-Skilled</t>
  </si>
  <si>
    <t>107</t>
  </si>
  <si>
    <t>MRS</t>
  </si>
  <si>
    <t>8012120227084</t>
  </si>
  <si>
    <t>2853228142</t>
  </si>
  <si>
    <t>M01120 - Mr NK Mhlongo</t>
  </si>
  <si>
    <t>108</t>
  </si>
  <si>
    <t>9109070177084</t>
  </si>
  <si>
    <t>2953484165</t>
  </si>
  <si>
    <t>1080</t>
  </si>
  <si>
    <t>5403125080086</t>
  </si>
  <si>
    <t>0266009810</t>
  </si>
  <si>
    <t>M00087 - Mr SL Strachan</t>
  </si>
  <si>
    <t>109</t>
  </si>
  <si>
    <t>9306290663089</t>
  </si>
  <si>
    <t>1674883168</t>
  </si>
  <si>
    <t>1090</t>
  </si>
  <si>
    <t>7502095169080</t>
  </si>
  <si>
    <t>0903075844</t>
  </si>
  <si>
    <t>SENIOR - 2 - Senior Management</t>
  </si>
  <si>
    <t>M00215 - Mr N Vlok</t>
  </si>
  <si>
    <t>1097</t>
  </si>
  <si>
    <t>8002285536080</t>
  </si>
  <si>
    <t>2020186140</t>
  </si>
  <si>
    <t>1098</t>
  </si>
  <si>
    <t>7605110580080</t>
  </si>
  <si>
    <t>0188863146</t>
  </si>
  <si>
    <t>1099</t>
  </si>
  <si>
    <t>8603170780087</t>
  </si>
  <si>
    <t>0282790161</t>
  </si>
  <si>
    <t>110</t>
  </si>
  <si>
    <t>8506060297080</t>
  </si>
  <si>
    <t>2515804157</t>
  </si>
  <si>
    <t>1100</t>
  </si>
  <si>
    <t>8903130060087</t>
  </si>
  <si>
    <t>0592409239</t>
  </si>
  <si>
    <t>1101</t>
  </si>
  <si>
    <t>7409040112084</t>
  </si>
  <si>
    <t>0074257148</t>
  </si>
  <si>
    <t>M00234 - Mr NS Rungasamy</t>
  </si>
  <si>
    <t>111</t>
  </si>
  <si>
    <t>8005015907083</t>
  </si>
  <si>
    <t>0138563184</t>
  </si>
  <si>
    <t>M00736 - Mr C Isaacs</t>
  </si>
  <si>
    <t>112</t>
  </si>
  <si>
    <t>8506240267086</t>
  </si>
  <si>
    <t>1368942148</t>
  </si>
  <si>
    <t>1127</t>
  </si>
  <si>
    <t>7509095137082</t>
  </si>
  <si>
    <t>2226187140</t>
  </si>
  <si>
    <t>M00511 - Mrs E Wissiak Button</t>
  </si>
  <si>
    <t>1128</t>
  </si>
  <si>
    <t>8112025098083</t>
  </si>
  <si>
    <t>1178828149</t>
  </si>
  <si>
    <t>1129</t>
  </si>
  <si>
    <t>9004265310089</t>
  </si>
  <si>
    <t>1693624163</t>
  </si>
  <si>
    <t>113</t>
  </si>
  <si>
    <t>9105220086084</t>
  </si>
  <si>
    <t>2203263153</t>
  </si>
  <si>
    <t>114</t>
  </si>
  <si>
    <t>8310045016081</t>
  </si>
  <si>
    <t>2197638147</t>
  </si>
  <si>
    <t>115</t>
  </si>
  <si>
    <t>9404080039089</t>
  </si>
  <si>
    <t>0038676284</t>
  </si>
  <si>
    <t>1155</t>
  </si>
  <si>
    <t>9002185081087</t>
  </si>
  <si>
    <t>0750395188</t>
  </si>
  <si>
    <t>1156</t>
  </si>
  <si>
    <t>8708200198083</t>
  </si>
  <si>
    <t>0068201177</t>
  </si>
  <si>
    <t>116</t>
  </si>
  <si>
    <t>9405230150080</t>
  </si>
  <si>
    <t>1019243177</t>
  </si>
  <si>
    <t>117</t>
  </si>
  <si>
    <t>8103305080081</t>
  </si>
  <si>
    <t>0097618151</t>
  </si>
  <si>
    <t>119</t>
  </si>
  <si>
    <t>8507045106081</t>
  </si>
  <si>
    <t>1967524149</t>
  </si>
  <si>
    <t>120</t>
  </si>
  <si>
    <t>7706285302084</t>
  </si>
  <si>
    <t>2339054146</t>
  </si>
  <si>
    <t>121</t>
  </si>
  <si>
    <t>9210020126088</t>
  </si>
  <si>
    <t>0181282278</t>
  </si>
  <si>
    <t>122</t>
  </si>
  <si>
    <t>8211170214089</t>
  </si>
  <si>
    <t>1217272150</t>
  </si>
  <si>
    <t>123</t>
  </si>
  <si>
    <t>9105110428081</t>
  </si>
  <si>
    <t>3595570148</t>
  </si>
  <si>
    <t>124</t>
  </si>
  <si>
    <t>9105180040089</t>
  </si>
  <si>
    <t>0068935246</t>
  </si>
  <si>
    <t>125</t>
  </si>
  <si>
    <t>9211100093081</t>
  </si>
  <si>
    <t>3382171167</t>
  </si>
  <si>
    <t>126</t>
  </si>
  <si>
    <t>7306015108081</t>
  </si>
  <si>
    <t>2961309149</t>
  </si>
  <si>
    <t>M00162 - Mrs C Louw</t>
  </si>
  <si>
    <t>127</t>
  </si>
  <si>
    <t>7302010308081</t>
  </si>
  <si>
    <t>0264366238</t>
  </si>
  <si>
    <t>M00598 - Mrs L Jamneck</t>
  </si>
  <si>
    <t>128</t>
  </si>
  <si>
    <t>8112010754088</t>
  </si>
  <si>
    <t>0268295169</t>
  </si>
  <si>
    <t>129</t>
  </si>
  <si>
    <t>8602120003087</t>
  </si>
  <si>
    <t>0600395164</t>
  </si>
  <si>
    <t>130</t>
  </si>
  <si>
    <t>7706040535085</t>
  </si>
  <si>
    <t>1693886150</t>
  </si>
  <si>
    <t>M00168 - Mrs SG Shabane</t>
  </si>
  <si>
    <t>131</t>
  </si>
  <si>
    <t>5610120972089</t>
  </si>
  <si>
    <t>0534101837</t>
  </si>
  <si>
    <t>134</t>
  </si>
  <si>
    <t>8905260108081</t>
  </si>
  <si>
    <t>0892603150</t>
  </si>
  <si>
    <t>135</t>
  </si>
  <si>
    <t>8105115115080</t>
  </si>
  <si>
    <t>0700220155</t>
  </si>
  <si>
    <t>136</t>
  </si>
  <si>
    <t>8411290010082</t>
  </si>
  <si>
    <t>0313465163</t>
  </si>
  <si>
    <t>137</t>
  </si>
  <si>
    <t>8412170193089</t>
  </si>
  <si>
    <t>0214362162</t>
  </si>
  <si>
    <t>138</t>
  </si>
  <si>
    <t>8112050177083</t>
  </si>
  <si>
    <t>0515837151</t>
  </si>
  <si>
    <t>139</t>
  </si>
  <si>
    <t>7101165102087</t>
  </si>
  <si>
    <t>0332267152</t>
  </si>
  <si>
    <t>141</t>
  </si>
  <si>
    <t>8203256042088</t>
  </si>
  <si>
    <t>2303525147</t>
  </si>
  <si>
    <t>M00221 - Miss JY Odendaal</t>
  </si>
  <si>
    <t>142</t>
  </si>
  <si>
    <t>9101235108088</t>
  </si>
  <si>
    <t>1276631189</t>
  </si>
  <si>
    <t>M00416 - Mrs SA Steyn</t>
  </si>
  <si>
    <t>143</t>
  </si>
  <si>
    <t>8810085012080</t>
  </si>
  <si>
    <t>0905309159</t>
  </si>
  <si>
    <t>144</t>
  </si>
  <si>
    <t>8509010333088</t>
  </si>
  <si>
    <t>1920585146</t>
  </si>
  <si>
    <t>145</t>
  </si>
  <si>
    <t>9401060096089</t>
  </si>
  <si>
    <t>3176135162</t>
  </si>
  <si>
    <t>147</t>
  </si>
  <si>
    <t>5802215014089</t>
  </si>
  <si>
    <t>0137038808</t>
  </si>
  <si>
    <t>148</t>
  </si>
  <si>
    <t>9405040019087</t>
  </si>
  <si>
    <t>0611151242</t>
  </si>
  <si>
    <t>149</t>
  </si>
  <si>
    <t>7901070053089</t>
  </si>
  <si>
    <t>RS - Resigned</t>
  </si>
  <si>
    <t>3712111149</t>
  </si>
  <si>
    <t>150</t>
  </si>
  <si>
    <t>9610230112085</t>
  </si>
  <si>
    <t>1144065198</t>
  </si>
  <si>
    <t>151</t>
  </si>
  <si>
    <t>8609205202088</t>
  </si>
  <si>
    <t>2680339153</t>
  </si>
  <si>
    <t>M00351 - Miss C Julius</t>
  </si>
  <si>
    <t>154</t>
  </si>
  <si>
    <t>8803270089088</t>
  </si>
  <si>
    <t>2117831145</t>
  </si>
  <si>
    <t>155</t>
  </si>
  <si>
    <t>7812245006086</t>
  </si>
  <si>
    <t>0379895162</t>
  </si>
  <si>
    <t>156</t>
  </si>
  <si>
    <t>9105300185087</t>
  </si>
  <si>
    <t>0098439235</t>
  </si>
  <si>
    <t>157</t>
  </si>
  <si>
    <t>9401020103082</t>
  </si>
  <si>
    <t>0522627249</t>
  </si>
  <si>
    <t>158</t>
  </si>
  <si>
    <t>8309240125085</t>
  </si>
  <si>
    <t>0805387156</t>
  </si>
  <si>
    <t>159</t>
  </si>
  <si>
    <t>5405220790089</t>
  </si>
  <si>
    <t>0587386244</t>
  </si>
  <si>
    <t>UNSKILLED - 6 - Unskilled</t>
  </si>
  <si>
    <t>M00796 - Mr M Nell</t>
  </si>
  <si>
    <t>160</t>
  </si>
  <si>
    <t>8309160398084</t>
  </si>
  <si>
    <t>0246735161</t>
  </si>
  <si>
    <t>M01198 - Miss LE Mabaso</t>
  </si>
  <si>
    <t>161</t>
  </si>
  <si>
    <t>8308120160089</t>
  </si>
  <si>
    <t>2592699140</t>
  </si>
  <si>
    <t>164</t>
  </si>
  <si>
    <t>8404195194085</t>
  </si>
  <si>
    <t>2859201143</t>
  </si>
  <si>
    <t>165</t>
  </si>
  <si>
    <t>8308170420086</t>
  </si>
  <si>
    <t>0071610174</t>
  </si>
  <si>
    <t>166</t>
  </si>
  <si>
    <t>9203080028088</t>
  </si>
  <si>
    <t>1379347188</t>
  </si>
  <si>
    <t>168</t>
  </si>
  <si>
    <t>8508090039086</t>
  </si>
  <si>
    <t>0230080178</t>
  </si>
  <si>
    <t>169</t>
  </si>
  <si>
    <t>8806020854081</t>
  </si>
  <si>
    <t>0173490251</t>
  </si>
  <si>
    <t>170</t>
  </si>
  <si>
    <t>8509040234082</t>
  </si>
  <si>
    <t>1098354150</t>
  </si>
  <si>
    <t>171</t>
  </si>
  <si>
    <t>6910085143083</t>
  </si>
  <si>
    <t>2182312146</t>
  </si>
  <si>
    <t>172</t>
  </si>
  <si>
    <t>9605260107088</t>
  </si>
  <si>
    <t>2276424179</t>
  </si>
  <si>
    <t>173</t>
  </si>
  <si>
    <t>M00235</t>
  </si>
  <si>
    <t>Harold</t>
  </si>
  <si>
    <t>7407225078088</t>
  </si>
  <si>
    <t>T - Terminated</t>
  </si>
  <si>
    <t>DC - Deceased</t>
  </si>
  <si>
    <t>1728230143</t>
  </si>
  <si>
    <t>174</t>
  </si>
  <si>
    <t>8202240186084</t>
  </si>
  <si>
    <t>1677360156</t>
  </si>
  <si>
    <t>M00871 - Mr J Ragbeer</t>
  </si>
  <si>
    <t>175</t>
  </si>
  <si>
    <t>9412230194084</t>
  </si>
  <si>
    <t>3544028164</t>
  </si>
  <si>
    <t>176</t>
  </si>
  <si>
    <t>8708260068085</t>
  </si>
  <si>
    <t>2794639142</t>
  </si>
  <si>
    <t>M01488 - Mrs T Strauss</t>
  </si>
  <si>
    <t>177</t>
  </si>
  <si>
    <t>9309120085085</t>
  </si>
  <si>
    <t>0889954186</t>
  </si>
  <si>
    <t>178</t>
  </si>
  <si>
    <t>9611210175084</t>
  </si>
  <si>
    <t>0856151246</t>
  </si>
  <si>
    <t>179</t>
  </si>
  <si>
    <t>9503060218082</t>
  </si>
  <si>
    <t>2668193176</t>
  </si>
  <si>
    <t>180</t>
  </si>
  <si>
    <t>9511250114086</t>
  </si>
  <si>
    <t>3232548168</t>
  </si>
  <si>
    <t>181</t>
  </si>
  <si>
    <t>9603240240087</t>
  </si>
  <si>
    <t>2907709162</t>
  </si>
  <si>
    <t>182</t>
  </si>
  <si>
    <t>8004250058082</t>
  </si>
  <si>
    <t>1936455144</t>
  </si>
  <si>
    <t>183</t>
  </si>
  <si>
    <t>7707270264081</t>
  </si>
  <si>
    <t>1806969141</t>
  </si>
  <si>
    <t>184</t>
  </si>
  <si>
    <t>8204205345085</t>
  </si>
  <si>
    <t>0212268155</t>
  </si>
  <si>
    <t>185</t>
  </si>
  <si>
    <t>7711025082087</t>
  </si>
  <si>
    <t>0920028149</t>
  </si>
  <si>
    <t>187</t>
  </si>
  <si>
    <t>8809155136084</t>
  </si>
  <si>
    <t>0146914171</t>
  </si>
  <si>
    <t>M00164 - Mr JP De Villiers</t>
  </si>
  <si>
    <t>188</t>
  </si>
  <si>
    <t>8503100627087</t>
  </si>
  <si>
    <t>0000000000</t>
  </si>
  <si>
    <t>189</t>
  </si>
  <si>
    <t>8604165731085</t>
  </si>
  <si>
    <t>0205597164</t>
  </si>
  <si>
    <t>190</t>
  </si>
  <si>
    <t>8502165178085</t>
  </si>
  <si>
    <t>2484546144</t>
  </si>
  <si>
    <t>191</t>
  </si>
  <si>
    <t>8701060107088</t>
  </si>
  <si>
    <t>1541907141</t>
  </si>
  <si>
    <t>192</t>
  </si>
  <si>
    <t>7509085071085</t>
  </si>
  <si>
    <t>1202045074</t>
  </si>
  <si>
    <t>193</t>
  </si>
  <si>
    <t>8304110685086</t>
  </si>
  <si>
    <t>1730528146</t>
  </si>
  <si>
    <t>M00525 - Miss AR Balintaba</t>
  </si>
  <si>
    <t>194</t>
  </si>
  <si>
    <t>8301210246082</t>
  </si>
  <si>
    <t>0016082174</t>
  </si>
  <si>
    <t>196</t>
  </si>
  <si>
    <t>9606150056088</t>
  </si>
  <si>
    <t>1381288180</t>
  </si>
  <si>
    <t>197</t>
  </si>
  <si>
    <t>9311010439083</t>
  </si>
  <si>
    <t>0240553255</t>
  </si>
  <si>
    <t>198</t>
  </si>
  <si>
    <t>9408280397080</t>
  </si>
  <si>
    <t>3448143168</t>
  </si>
  <si>
    <t>199</t>
  </si>
  <si>
    <t>8711230128088</t>
  </si>
  <si>
    <t>2301863144</t>
  </si>
  <si>
    <t>200</t>
  </si>
  <si>
    <t>5212095074080</t>
  </si>
  <si>
    <t>1150067203</t>
  </si>
  <si>
    <t>C5 - C5 Upper</t>
  </si>
  <si>
    <t>201</t>
  </si>
  <si>
    <t>8803025142083</t>
  </si>
  <si>
    <t>0460925183</t>
  </si>
  <si>
    <t>203</t>
  </si>
  <si>
    <t>6103070183088</t>
  </si>
  <si>
    <t>2328124033</t>
  </si>
  <si>
    <t>204</t>
  </si>
  <si>
    <t>5105010034082</t>
  </si>
  <si>
    <t>0161132873</t>
  </si>
  <si>
    <t>M01406 - Mr J Kilian</t>
  </si>
  <si>
    <t>FIXED - Fixed Period</t>
  </si>
  <si>
    <t>205</t>
  </si>
  <si>
    <t>7203145252089</t>
  </si>
  <si>
    <t>2961711161</t>
  </si>
  <si>
    <t>207</t>
  </si>
  <si>
    <t>7411070783081</t>
  </si>
  <si>
    <t>2332592142</t>
  </si>
  <si>
    <t>208</t>
  </si>
  <si>
    <t>7811250355081</t>
  </si>
  <si>
    <t>0396880155</t>
  </si>
  <si>
    <t>B4 - B4 Upper</t>
  </si>
  <si>
    <t>M00024 - Mr Y Mahomed</t>
  </si>
  <si>
    <t>210</t>
  </si>
  <si>
    <t>9010260054085</t>
  </si>
  <si>
    <t>0071445274</t>
  </si>
  <si>
    <t>211</t>
  </si>
  <si>
    <t>8105095196084</t>
  </si>
  <si>
    <t>0073898199</t>
  </si>
  <si>
    <t>212</t>
  </si>
  <si>
    <t>9502100128087</t>
  </si>
  <si>
    <t>213</t>
  </si>
  <si>
    <t>7402235017085</t>
  </si>
  <si>
    <t>1268219142</t>
  </si>
  <si>
    <t>M00257 - Mr WDF Veldtsman</t>
  </si>
  <si>
    <t>214</t>
  </si>
  <si>
    <t>7406135073080</t>
  </si>
  <si>
    <t>1527371031</t>
  </si>
  <si>
    <t>215</t>
  </si>
  <si>
    <t>7412170039085</t>
  </si>
  <si>
    <t>0339398141</t>
  </si>
  <si>
    <t>216</t>
  </si>
  <si>
    <t>8811055305082</t>
  </si>
  <si>
    <t>0938470168</t>
  </si>
  <si>
    <t>M00151 - Mr V Pillay</t>
  </si>
  <si>
    <t>217</t>
  </si>
  <si>
    <t>6801250208084</t>
  </si>
  <si>
    <t>0838792141</t>
  </si>
  <si>
    <t>218</t>
  </si>
  <si>
    <t>9106190106084</t>
  </si>
  <si>
    <t>0873816185</t>
  </si>
  <si>
    <t>219</t>
  </si>
  <si>
    <t>9305040242087</t>
  </si>
  <si>
    <t>0925314189</t>
  </si>
  <si>
    <t>220</t>
  </si>
  <si>
    <t>8711260032085</t>
  </si>
  <si>
    <t>0135298164</t>
  </si>
  <si>
    <t>221</t>
  </si>
  <si>
    <t>7307055164083</t>
  </si>
  <si>
    <t>0323225144</t>
  </si>
  <si>
    <t>222</t>
  </si>
  <si>
    <t>6508260059080</t>
  </si>
  <si>
    <t>0275523140</t>
  </si>
  <si>
    <t>223</t>
  </si>
  <si>
    <t>8608140167083</t>
  </si>
  <si>
    <t>0907162176</t>
  </si>
  <si>
    <t>M00578 - Mrs B Van Zyl</t>
  </si>
  <si>
    <t>224</t>
  </si>
  <si>
    <t>8802240070087</t>
  </si>
  <si>
    <t>0898563150</t>
  </si>
  <si>
    <t>225</t>
  </si>
  <si>
    <t>9312165190083</t>
  </si>
  <si>
    <t>1116765171</t>
  </si>
  <si>
    <t>226</t>
  </si>
  <si>
    <t>7404275191085</t>
  </si>
  <si>
    <t>0372957159</t>
  </si>
  <si>
    <t>228</t>
  </si>
  <si>
    <t>8601250210082</t>
  </si>
  <si>
    <t>0749427159</t>
  </si>
  <si>
    <t>M00224 - Mr JJD Kleinhans</t>
  </si>
  <si>
    <t>229</t>
  </si>
  <si>
    <t>7606125251089</t>
  </si>
  <si>
    <t>0318272143</t>
  </si>
  <si>
    <t>230</t>
  </si>
  <si>
    <t>7106245216088</t>
  </si>
  <si>
    <t>0085427169</t>
  </si>
  <si>
    <t>231</t>
  </si>
  <si>
    <t>9007130186089</t>
  </si>
  <si>
    <t>1597718152</t>
  </si>
  <si>
    <t>232</t>
  </si>
  <si>
    <t>8509235041086</t>
  </si>
  <si>
    <t>0215858143</t>
  </si>
  <si>
    <t>233</t>
  </si>
  <si>
    <t>JOYISA</t>
  </si>
  <si>
    <t>7603205783081</t>
  </si>
  <si>
    <t>2555465141</t>
  </si>
  <si>
    <t>234</t>
  </si>
  <si>
    <t>9012256118080</t>
  </si>
  <si>
    <t>0019516194</t>
  </si>
  <si>
    <t>235</t>
  </si>
  <si>
    <t>8511190059087</t>
  </si>
  <si>
    <t>1023366154</t>
  </si>
  <si>
    <t>M00187 - Mr T Ngcem</t>
  </si>
  <si>
    <t>236</t>
  </si>
  <si>
    <t>8412190126085</t>
  </si>
  <si>
    <t>0399512169</t>
  </si>
  <si>
    <t>M00006 - Mr P Kiely</t>
  </si>
  <si>
    <t>237</t>
  </si>
  <si>
    <t>7804140475086</t>
  </si>
  <si>
    <t>1347160150</t>
  </si>
  <si>
    <t>238</t>
  </si>
  <si>
    <t>9303310976088</t>
  </si>
  <si>
    <t>0636907198</t>
  </si>
  <si>
    <t>INTERN_LEARNER - Intership and Learners</t>
  </si>
  <si>
    <t>239</t>
  </si>
  <si>
    <t>8209080168080</t>
  </si>
  <si>
    <t>0261454169</t>
  </si>
  <si>
    <t>24</t>
  </si>
  <si>
    <t>9202055152089</t>
  </si>
  <si>
    <t>1342969167</t>
  </si>
  <si>
    <t>240</t>
  </si>
  <si>
    <t>9209011070081</t>
  </si>
  <si>
    <t>0004688271</t>
  </si>
  <si>
    <t>241</t>
  </si>
  <si>
    <t>8511240111086</t>
  </si>
  <si>
    <t>2910634142</t>
  </si>
  <si>
    <t>243</t>
  </si>
  <si>
    <t>9011280552082</t>
  </si>
  <si>
    <t>0809969181</t>
  </si>
  <si>
    <t>244</t>
  </si>
  <si>
    <t>8605090413087</t>
  </si>
  <si>
    <t>3709266146</t>
  </si>
  <si>
    <t>245</t>
  </si>
  <si>
    <t>7701125293080</t>
  </si>
  <si>
    <t>2066060142</t>
  </si>
  <si>
    <t>248</t>
  </si>
  <si>
    <t>8002285023089</t>
  </si>
  <si>
    <t>0724178157</t>
  </si>
  <si>
    <t>249</t>
  </si>
  <si>
    <t>8008150859085</t>
  </si>
  <si>
    <t>3626303154</t>
  </si>
  <si>
    <t>25</t>
  </si>
  <si>
    <t>8509070150083</t>
  </si>
  <si>
    <t>1025459155</t>
  </si>
  <si>
    <t>250</t>
  </si>
  <si>
    <t>8908115961084</t>
  </si>
  <si>
    <t>2102057169</t>
  </si>
  <si>
    <t>251</t>
  </si>
  <si>
    <t>7509300609081</t>
  </si>
  <si>
    <t>0029058179</t>
  </si>
  <si>
    <t>252</t>
  </si>
  <si>
    <t>9004146336089</t>
  </si>
  <si>
    <t>0370755183</t>
  </si>
  <si>
    <t>253</t>
  </si>
  <si>
    <t>9101240325081</t>
  </si>
  <si>
    <t>2332373162</t>
  </si>
  <si>
    <t>254</t>
  </si>
  <si>
    <t>8412210477088</t>
  </si>
  <si>
    <t>1300818158</t>
  </si>
  <si>
    <t>255</t>
  </si>
  <si>
    <t>9306250732080</t>
  </si>
  <si>
    <t>256</t>
  </si>
  <si>
    <t>9206150457087</t>
  </si>
  <si>
    <t>0452463185</t>
  </si>
  <si>
    <t>257</t>
  </si>
  <si>
    <t>9203091383084</t>
  </si>
  <si>
    <t>1804542171</t>
  </si>
  <si>
    <t>258</t>
  </si>
  <si>
    <t>7503121161083</t>
  </si>
  <si>
    <t>2257651147</t>
  </si>
  <si>
    <t>26</t>
  </si>
  <si>
    <t>8106130097089</t>
  </si>
  <si>
    <t>0933267155</t>
  </si>
  <si>
    <t>261</t>
  </si>
  <si>
    <t>9105180586081</t>
  </si>
  <si>
    <t>2299840161</t>
  </si>
  <si>
    <t>262</t>
  </si>
  <si>
    <t>4702225047080</t>
  </si>
  <si>
    <t>0239076805</t>
  </si>
  <si>
    <t>E3 - E3 Lower</t>
  </si>
  <si>
    <t>263</t>
  </si>
  <si>
    <t>8909145045088</t>
  </si>
  <si>
    <t>0624819199</t>
  </si>
  <si>
    <t>H20 - HOD Pricing and Revenue Management</t>
  </si>
  <si>
    <t>M00968 - Mrs ME Labuschagne</t>
  </si>
  <si>
    <t>264</t>
  </si>
  <si>
    <t>7701045230089</t>
  </si>
  <si>
    <t>1494295148</t>
  </si>
  <si>
    <t>265</t>
  </si>
  <si>
    <t>9103085150087</t>
  </si>
  <si>
    <t>0446146235</t>
  </si>
  <si>
    <t>266</t>
  </si>
  <si>
    <t>9208190074088</t>
  </si>
  <si>
    <t>1339685172</t>
  </si>
  <si>
    <t>267</t>
  </si>
  <si>
    <t>9412070126089</t>
  </si>
  <si>
    <t>2751588167</t>
  </si>
  <si>
    <t>268</t>
  </si>
  <si>
    <t>6401265032080</t>
  </si>
  <si>
    <t>0758001820</t>
  </si>
  <si>
    <t>269</t>
  </si>
  <si>
    <t>4903115006083</t>
  </si>
  <si>
    <t>1689037842</t>
  </si>
  <si>
    <t>27</t>
  </si>
  <si>
    <t>8601160193089</t>
  </si>
  <si>
    <t>0065029258</t>
  </si>
  <si>
    <t>MAT - Maternity Leave</t>
  </si>
  <si>
    <t>270</t>
  </si>
  <si>
    <t>9507125103080</t>
  </si>
  <si>
    <t>0180872277</t>
  </si>
  <si>
    <t>271</t>
  </si>
  <si>
    <t>8608210590081</t>
  </si>
  <si>
    <t>0611006172</t>
  </si>
  <si>
    <t>274</t>
  </si>
  <si>
    <t>8711050033087</t>
  </si>
  <si>
    <t>0498412162</t>
  </si>
  <si>
    <t>275</t>
  </si>
  <si>
    <t>8905120008083</t>
  </si>
  <si>
    <t>1190988160</t>
  </si>
  <si>
    <t>276</t>
  </si>
  <si>
    <t>6311165123089</t>
  </si>
  <si>
    <t>0600248835</t>
  </si>
  <si>
    <t>278</t>
  </si>
  <si>
    <t>9110170225088</t>
  </si>
  <si>
    <t>1700869157</t>
  </si>
  <si>
    <t>279</t>
  </si>
  <si>
    <t>8203060823087</t>
  </si>
  <si>
    <t>3621306152</t>
  </si>
  <si>
    <t>28</t>
  </si>
  <si>
    <t>9312040051088</t>
  </si>
  <si>
    <t>1302689177</t>
  </si>
  <si>
    <t>280</t>
  </si>
  <si>
    <t>6812230072086</t>
  </si>
  <si>
    <t>1111229645</t>
  </si>
  <si>
    <t>TOP - 1 - Top Management</t>
  </si>
  <si>
    <t>281</t>
  </si>
  <si>
    <t>7609205092084</t>
  </si>
  <si>
    <t>0914304159</t>
  </si>
  <si>
    <t>282</t>
  </si>
  <si>
    <t>7009020268086</t>
  </si>
  <si>
    <t>0333115160</t>
  </si>
  <si>
    <t>284</t>
  </si>
  <si>
    <t>9503250046087</t>
  </si>
  <si>
    <t>3617161165</t>
  </si>
  <si>
    <t>286</t>
  </si>
  <si>
    <t>7501295153084</t>
  </si>
  <si>
    <t>1055021149</t>
  </si>
  <si>
    <t>287</t>
  </si>
  <si>
    <t>7604135195081</t>
  </si>
  <si>
    <t>0080505159</t>
  </si>
  <si>
    <t>288</t>
  </si>
  <si>
    <t>9203140717084</t>
  </si>
  <si>
    <t>0833505191</t>
  </si>
  <si>
    <t>289</t>
  </si>
  <si>
    <t>8001300392081</t>
  </si>
  <si>
    <t>3640296152</t>
  </si>
  <si>
    <t>29</t>
  </si>
  <si>
    <t>8902015247082</t>
  </si>
  <si>
    <t>0522966175</t>
  </si>
  <si>
    <t>290</t>
  </si>
  <si>
    <t>8105060352084</t>
  </si>
  <si>
    <t>0039388178</t>
  </si>
  <si>
    <t>291</t>
  </si>
  <si>
    <t>9106180236081</t>
  </si>
  <si>
    <t>0868295197</t>
  </si>
  <si>
    <t>292</t>
  </si>
  <si>
    <t>9105071307084</t>
  </si>
  <si>
    <t>3141566152</t>
  </si>
  <si>
    <t>293</t>
  </si>
  <si>
    <t>9111285213084</t>
  </si>
  <si>
    <t>0268319159</t>
  </si>
  <si>
    <t>294</t>
  </si>
  <si>
    <t>9312020470084</t>
  </si>
  <si>
    <t>2196581173</t>
  </si>
  <si>
    <t>295</t>
  </si>
  <si>
    <t>7901125228082</t>
  </si>
  <si>
    <t>2068185145</t>
  </si>
  <si>
    <t>296</t>
  </si>
  <si>
    <t>7903240579084</t>
  </si>
  <si>
    <t>0287954192</t>
  </si>
  <si>
    <t>297</t>
  </si>
  <si>
    <t>7609230618085</t>
  </si>
  <si>
    <t>299</t>
  </si>
  <si>
    <t>4609295017085</t>
  </si>
  <si>
    <t>1846010849</t>
  </si>
  <si>
    <t>30</t>
  </si>
  <si>
    <t>9308010292082</t>
  </si>
  <si>
    <t>1732982168</t>
  </si>
  <si>
    <t>300</t>
  </si>
  <si>
    <t>7303085362086</t>
  </si>
  <si>
    <t>1774125841</t>
  </si>
  <si>
    <t>302</t>
  </si>
  <si>
    <t>8010185016087</t>
  </si>
  <si>
    <t>0319014635</t>
  </si>
  <si>
    <t>303</t>
  </si>
  <si>
    <t>8201295275081</t>
  </si>
  <si>
    <t>0017079187</t>
  </si>
  <si>
    <t>304</t>
  </si>
  <si>
    <t>8204270731086</t>
  </si>
  <si>
    <t>3045385147</t>
  </si>
  <si>
    <t>M01438 - Ms T Smith</t>
  </si>
  <si>
    <t>305</t>
  </si>
  <si>
    <t>8711205011087</t>
  </si>
  <si>
    <t>0280954256</t>
  </si>
  <si>
    <t>306</t>
  </si>
  <si>
    <t>8308086572087</t>
  </si>
  <si>
    <t>0383459195</t>
  </si>
  <si>
    <t>307</t>
  </si>
  <si>
    <t>7510065130081</t>
  </si>
  <si>
    <t>1103001051</t>
  </si>
  <si>
    <t>308</t>
  </si>
  <si>
    <t>8607210089086</t>
  </si>
  <si>
    <t>0842297152</t>
  </si>
  <si>
    <t>309</t>
  </si>
  <si>
    <t>8908110237084</t>
  </si>
  <si>
    <t>0181611278</t>
  </si>
  <si>
    <t>31</t>
  </si>
  <si>
    <t>6202065057081</t>
  </si>
  <si>
    <t>0047084033</t>
  </si>
  <si>
    <t>310</t>
  </si>
  <si>
    <t>7310190109088</t>
  </si>
  <si>
    <t>0409041142</t>
  </si>
  <si>
    <t>M01484 - Mr R Dhawakieram</t>
  </si>
  <si>
    <t>311</t>
  </si>
  <si>
    <t>5804305082083</t>
  </si>
  <si>
    <t>0424252690</t>
  </si>
  <si>
    <t>312</t>
  </si>
  <si>
    <t>8406160969086</t>
  </si>
  <si>
    <t>0104476254</t>
  </si>
  <si>
    <t>313</t>
  </si>
  <si>
    <t>8105130065088</t>
  </si>
  <si>
    <t>2947391146</t>
  </si>
  <si>
    <t>314</t>
  </si>
  <si>
    <t>8102205139088</t>
  </si>
  <si>
    <t>0325534154</t>
  </si>
  <si>
    <t>315</t>
  </si>
  <si>
    <t>8203240783086</t>
  </si>
  <si>
    <t>316</t>
  </si>
  <si>
    <t>9606225241087</t>
  </si>
  <si>
    <t>0211283270</t>
  </si>
  <si>
    <t>317</t>
  </si>
  <si>
    <t>8809060463086</t>
  </si>
  <si>
    <t>3003729146</t>
  </si>
  <si>
    <t>318</t>
  </si>
  <si>
    <t>6210070423081</t>
  </si>
  <si>
    <t>0124518168</t>
  </si>
  <si>
    <t>319</t>
  </si>
  <si>
    <t>8605160411086</t>
  </si>
  <si>
    <t>1554698140</t>
  </si>
  <si>
    <t>32</t>
  </si>
  <si>
    <t>9609225242089</t>
  </si>
  <si>
    <t>0581671252</t>
  </si>
  <si>
    <t>320</t>
  </si>
  <si>
    <t>8002070376080</t>
  </si>
  <si>
    <t>1131002154</t>
  </si>
  <si>
    <t>321</t>
  </si>
  <si>
    <t>7405315653083</t>
  </si>
  <si>
    <t>1166646164</t>
  </si>
  <si>
    <t>322</t>
  </si>
  <si>
    <t>7512035587085</t>
  </si>
  <si>
    <t>3652292156</t>
  </si>
  <si>
    <t>323</t>
  </si>
  <si>
    <t>7507020298086</t>
  </si>
  <si>
    <t>0638848143</t>
  </si>
  <si>
    <t>324</t>
  </si>
  <si>
    <t>9208070039086</t>
  </si>
  <si>
    <t>0084927276</t>
  </si>
  <si>
    <t>325</t>
  </si>
  <si>
    <t>9208070296082</t>
  </si>
  <si>
    <t>326</t>
  </si>
  <si>
    <t>9203130286082</t>
  </si>
  <si>
    <t>1529930172</t>
  </si>
  <si>
    <t>327</t>
  </si>
  <si>
    <t>8010075697087</t>
  </si>
  <si>
    <t>2268235161</t>
  </si>
  <si>
    <t>328</t>
  </si>
  <si>
    <t>8705086026081</t>
  </si>
  <si>
    <t>3727500146</t>
  </si>
  <si>
    <t>33</t>
  </si>
  <si>
    <t>9603290205089</t>
  </si>
  <si>
    <t>2345226175</t>
  </si>
  <si>
    <t>330</t>
  </si>
  <si>
    <t>7807230033087</t>
  </si>
  <si>
    <t>3093414146</t>
  </si>
  <si>
    <t>M00819 - Mrs MJ Immelman</t>
  </si>
  <si>
    <t>332</t>
  </si>
  <si>
    <t>8003015382084</t>
  </si>
  <si>
    <t>0487086241</t>
  </si>
  <si>
    <t>333</t>
  </si>
  <si>
    <t>6607040718088</t>
  </si>
  <si>
    <t>1007689159</t>
  </si>
  <si>
    <t>334</t>
  </si>
  <si>
    <t>9210080537083</t>
  </si>
  <si>
    <t>3338463155</t>
  </si>
  <si>
    <t>335</t>
  </si>
  <si>
    <t>8510070492087</t>
  </si>
  <si>
    <t>2191737143</t>
  </si>
  <si>
    <t>336</t>
  </si>
  <si>
    <t>9203020146081</t>
  </si>
  <si>
    <t>1112525157</t>
  </si>
  <si>
    <t>337</t>
  </si>
  <si>
    <t>8205275734082</t>
  </si>
  <si>
    <t>1201606165</t>
  </si>
  <si>
    <t>338</t>
  </si>
  <si>
    <t>8912140237080</t>
  </si>
  <si>
    <t>0433808235</t>
  </si>
  <si>
    <t>339</t>
  </si>
  <si>
    <t>9208021415187</t>
  </si>
  <si>
    <t>1006168239</t>
  </si>
  <si>
    <t>34</t>
  </si>
  <si>
    <t>9410100308081</t>
  </si>
  <si>
    <t>0800672230</t>
  </si>
  <si>
    <t>340</t>
  </si>
  <si>
    <t>8902280979088</t>
  </si>
  <si>
    <t>0947781159</t>
  </si>
  <si>
    <t>341</t>
  </si>
  <si>
    <t>8908300475080</t>
  </si>
  <si>
    <t>342</t>
  </si>
  <si>
    <t>8903310433088</t>
  </si>
  <si>
    <t>3173770144</t>
  </si>
  <si>
    <t>343</t>
  </si>
  <si>
    <t>6712030602084</t>
  </si>
  <si>
    <t>0565533155</t>
  </si>
  <si>
    <t>M00398 - Miss P Bennett</t>
  </si>
  <si>
    <t>344</t>
  </si>
  <si>
    <t>8005205193080</t>
  </si>
  <si>
    <t>0664426152</t>
  </si>
  <si>
    <t>M00972 - Mr GHN Van Eeden</t>
  </si>
  <si>
    <t>345</t>
  </si>
  <si>
    <t>7206225151089</t>
  </si>
  <si>
    <t>0009674169</t>
  </si>
  <si>
    <t>C3 - C3 Lower</t>
  </si>
  <si>
    <t>346</t>
  </si>
  <si>
    <t>M01411</t>
  </si>
  <si>
    <t>Rylee</t>
  </si>
  <si>
    <t>Maistry</t>
  </si>
  <si>
    <t>9305255230082</t>
  </si>
  <si>
    <t>2179808155</t>
  </si>
  <si>
    <t>348</t>
  </si>
  <si>
    <t>8702246149085</t>
  </si>
  <si>
    <t>0393337183</t>
  </si>
  <si>
    <t>349</t>
  </si>
  <si>
    <t>9804080405083</t>
  </si>
  <si>
    <t>1927545176</t>
  </si>
  <si>
    <t>35</t>
  </si>
  <si>
    <t>5612155083089</t>
  </si>
  <si>
    <t>0453203028</t>
  </si>
  <si>
    <t>350</t>
  </si>
  <si>
    <t>8304270652082</t>
  </si>
  <si>
    <t>1863474142</t>
  </si>
  <si>
    <t>351</t>
  </si>
  <si>
    <t>5609010672080</t>
  </si>
  <si>
    <t>1275002184</t>
  </si>
  <si>
    <t>352</t>
  </si>
  <si>
    <t>8109030632088</t>
  </si>
  <si>
    <t>3164389144</t>
  </si>
  <si>
    <t>353</t>
  </si>
  <si>
    <t>8709296207085</t>
  </si>
  <si>
    <t>1105370165</t>
  </si>
  <si>
    <t>354</t>
  </si>
  <si>
    <t>9705030609080</t>
  </si>
  <si>
    <t>355</t>
  </si>
  <si>
    <t>6208130365086</t>
  </si>
  <si>
    <t>0108574179</t>
  </si>
  <si>
    <t>356</t>
  </si>
  <si>
    <t>8702100978082</t>
  </si>
  <si>
    <t>0352714166</t>
  </si>
  <si>
    <t>357</t>
  </si>
  <si>
    <t>8001300444080</t>
  </si>
  <si>
    <t>2529411148</t>
  </si>
  <si>
    <t>358</t>
  </si>
  <si>
    <t>M01242</t>
  </si>
  <si>
    <t>TM</t>
  </si>
  <si>
    <t>Mangwale</t>
  </si>
  <si>
    <t>8503170568088</t>
  </si>
  <si>
    <t>0352752166</t>
  </si>
  <si>
    <t>P01 - Payroll Officer</t>
  </si>
  <si>
    <t>359</t>
  </si>
  <si>
    <t>6407080153084</t>
  </si>
  <si>
    <t>1066033075</t>
  </si>
  <si>
    <t>36</t>
  </si>
  <si>
    <t>7712075095086</t>
  </si>
  <si>
    <t>0915224158</t>
  </si>
  <si>
    <t>360</t>
  </si>
  <si>
    <t>8202130363082</t>
  </si>
  <si>
    <t>0135549186</t>
  </si>
  <si>
    <t>361</t>
  </si>
  <si>
    <t>7812100153080</t>
  </si>
  <si>
    <t>1301851166</t>
  </si>
  <si>
    <t>362</t>
  </si>
  <si>
    <t>8101020655088</t>
  </si>
  <si>
    <t>1658184146</t>
  </si>
  <si>
    <t>363</t>
  </si>
  <si>
    <t>8704235862082</t>
  </si>
  <si>
    <t>2417675150</t>
  </si>
  <si>
    <t>364</t>
  </si>
  <si>
    <t>6107070023087</t>
  </si>
  <si>
    <t>0478032667</t>
  </si>
  <si>
    <t>365</t>
  </si>
  <si>
    <t>5508215154086</t>
  </si>
  <si>
    <t>1270177643</t>
  </si>
  <si>
    <t>366</t>
  </si>
  <si>
    <t>9407060151089</t>
  </si>
  <si>
    <t>1423784170</t>
  </si>
  <si>
    <t>367</t>
  </si>
  <si>
    <t>7708025011082</t>
  </si>
  <si>
    <t>3051166142</t>
  </si>
  <si>
    <t>368</t>
  </si>
  <si>
    <t>9004170209087</t>
  </si>
  <si>
    <t>3705069163</t>
  </si>
  <si>
    <t>369</t>
  </si>
  <si>
    <t>8208305511082</t>
  </si>
  <si>
    <t>1099365163</t>
  </si>
  <si>
    <t>37</t>
  </si>
  <si>
    <t>8205126103081</t>
  </si>
  <si>
    <t>0002688265</t>
  </si>
  <si>
    <t>370</t>
  </si>
  <si>
    <t>8908070389081</t>
  </si>
  <si>
    <t>0245247234</t>
  </si>
  <si>
    <t>371</t>
  </si>
  <si>
    <t>7607270533081</t>
  </si>
  <si>
    <t>1255054155</t>
  </si>
  <si>
    <t>374</t>
  </si>
  <si>
    <t>8503315554084</t>
  </si>
  <si>
    <t>0628674152</t>
  </si>
  <si>
    <t>D1 - D1 Lower</t>
  </si>
  <si>
    <t>375</t>
  </si>
  <si>
    <t>9304210816085</t>
  </si>
  <si>
    <t>376</t>
  </si>
  <si>
    <t>7404035436085</t>
  </si>
  <si>
    <t>0079117164</t>
  </si>
  <si>
    <t>377</t>
  </si>
  <si>
    <t>6808101243087</t>
  </si>
  <si>
    <t>2170279141</t>
  </si>
  <si>
    <t>378</t>
  </si>
  <si>
    <t>8410245271088</t>
  </si>
  <si>
    <t>0249324161</t>
  </si>
  <si>
    <t>379</t>
  </si>
  <si>
    <t>8604251079084</t>
  </si>
  <si>
    <t>3246470144</t>
  </si>
  <si>
    <t>38</t>
  </si>
  <si>
    <t>8308035025088</t>
  </si>
  <si>
    <t>0298455163</t>
  </si>
  <si>
    <t>380</t>
  </si>
  <si>
    <t>8207195620086</t>
  </si>
  <si>
    <t>0099342263</t>
  </si>
  <si>
    <t>381</t>
  </si>
  <si>
    <t>9604280393083</t>
  </si>
  <si>
    <t>2274272174</t>
  </si>
  <si>
    <t>382</t>
  </si>
  <si>
    <t>8002090489087</t>
  </si>
  <si>
    <t>0029968161</t>
  </si>
  <si>
    <t>383</t>
  </si>
  <si>
    <t>9306050189085</t>
  </si>
  <si>
    <t>1155932179</t>
  </si>
  <si>
    <t>384</t>
  </si>
  <si>
    <t>8004190352082</t>
  </si>
  <si>
    <t>1314871144</t>
  </si>
  <si>
    <t>C1 - C1 Lower</t>
  </si>
  <si>
    <t>386</t>
  </si>
  <si>
    <t>8603015327086</t>
  </si>
  <si>
    <t>387</t>
  </si>
  <si>
    <t>8502275771084</t>
  </si>
  <si>
    <t>1441104153</t>
  </si>
  <si>
    <t>388</t>
  </si>
  <si>
    <t>9008240370084</t>
  </si>
  <si>
    <t>39</t>
  </si>
  <si>
    <t>8710245562083</t>
  </si>
  <si>
    <t>2598748156</t>
  </si>
  <si>
    <t>390</t>
  </si>
  <si>
    <t>8112050631089</t>
  </si>
  <si>
    <t>2161062167</t>
  </si>
  <si>
    <t>391</t>
  </si>
  <si>
    <t>9111120193087</t>
  </si>
  <si>
    <t>0831420179</t>
  </si>
  <si>
    <t>394</t>
  </si>
  <si>
    <t>5804125153080</t>
  </si>
  <si>
    <t>0728352832</t>
  </si>
  <si>
    <t>395</t>
  </si>
  <si>
    <t>8911130113087</t>
  </si>
  <si>
    <t>1300925177</t>
  </si>
  <si>
    <t>396</t>
  </si>
  <si>
    <t>8509205325089</t>
  </si>
  <si>
    <t>0296467152</t>
  </si>
  <si>
    <t>397</t>
  </si>
  <si>
    <t>9501016158089</t>
  </si>
  <si>
    <t>3723227165</t>
  </si>
  <si>
    <t>399</t>
  </si>
  <si>
    <t>9205130587088</t>
  </si>
  <si>
    <t>1746896172</t>
  </si>
  <si>
    <t>4</t>
  </si>
  <si>
    <t>8703245024089</t>
  </si>
  <si>
    <t>3243440140</t>
  </si>
  <si>
    <t>401</t>
  </si>
  <si>
    <t>8609020440087</t>
  </si>
  <si>
    <t>0208865196</t>
  </si>
  <si>
    <t>402</t>
  </si>
  <si>
    <t>7902235180080</t>
  </si>
  <si>
    <t>1231737147</t>
  </si>
  <si>
    <t>403</t>
  </si>
  <si>
    <t>8612230009080</t>
  </si>
  <si>
    <t>1188899148</t>
  </si>
  <si>
    <t>404</t>
  </si>
  <si>
    <t>9111220387084</t>
  </si>
  <si>
    <t>2101002174</t>
  </si>
  <si>
    <t>405</t>
  </si>
  <si>
    <t>6903020239082</t>
  </si>
  <si>
    <t>1353102849</t>
  </si>
  <si>
    <t>406</t>
  </si>
  <si>
    <t>7109010189084</t>
  </si>
  <si>
    <t>0890631146</t>
  </si>
  <si>
    <t>407</t>
  </si>
  <si>
    <t>8004240286082</t>
  </si>
  <si>
    <t>0825035157</t>
  </si>
  <si>
    <t>408</t>
  </si>
  <si>
    <t>7509145314087</t>
  </si>
  <si>
    <t>2659271148</t>
  </si>
  <si>
    <t>409</t>
  </si>
  <si>
    <t>8209091462084</t>
  </si>
  <si>
    <t>0303863161</t>
  </si>
  <si>
    <t>41</t>
  </si>
  <si>
    <t>8604290724088</t>
  </si>
  <si>
    <t>1945586145</t>
  </si>
  <si>
    <t>410</t>
  </si>
  <si>
    <t>8502105811084</t>
  </si>
  <si>
    <t>0783469158</t>
  </si>
  <si>
    <t>411</t>
  </si>
  <si>
    <t>6310185620082</t>
  </si>
  <si>
    <t>0023639172</t>
  </si>
  <si>
    <t>M00255 - Mrs P Luhabe</t>
  </si>
  <si>
    <t>412</t>
  </si>
  <si>
    <t>7903165915081</t>
  </si>
  <si>
    <t>0612392175</t>
  </si>
  <si>
    <t>413</t>
  </si>
  <si>
    <t>9311050141086</t>
  </si>
  <si>
    <t>0918567181</t>
  </si>
  <si>
    <t>415</t>
  </si>
  <si>
    <t>9304200135082</t>
  </si>
  <si>
    <t>1038241186</t>
  </si>
  <si>
    <t>416</t>
  </si>
  <si>
    <t>9007040424083</t>
  </si>
  <si>
    <t>1233858172</t>
  </si>
  <si>
    <t>417</t>
  </si>
  <si>
    <t>8912236140081</t>
  </si>
  <si>
    <t>1982267153</t>
  </si>
  <si>
    <t>418</t>
  </si>
  <si>
    <t>8209240823087</t>
  </si>
  <si>
    <t>1413788140</t>
  </si>
  <si>
    <t>42</t>
  </si>
  <si>
    <t>9601215130085</t>
  </si>
  <si>
    <t>3580508160</t>
  </si>
  <si>
    <t>420</t>
  </si>
  <si>
    <t>8401150533083</t>
  </si>
  <si>
    <t>1158039162</t>
  </si>
  <si>
    <t>421</t>
  </si>
  <si>
    <t>8505051048080</t>
  </si>
  <si>
    <t>2434577140</t>
  </si>
  <si>
    <t>422</t>
  </si>
  <si>
    <t>9302240247081</t>
  </si>
  <si>
    <t>0710834235</t>
  </si>
  <si>
    <t>423</t>
  </si>
  <si>
    <t>9109250597085</t>
  </si>
  <si>
    <t>0315937250</t>
  </si>
  <si>
    <t>424</t>
  </si>
  <si>
    <t>8802076099085</t>
  </si>
  <si>
    <t>1211828155</t>
  </si>
  <si>
    <t>425</t>
  </si>
  <si>
    <t>9402190530088</t>
  </si>
  <si>
    <t>426</t>
  </si>
  <si>
    <t>8907281164085</t>
  </si>
  <si>
    <t>1851307155</t>
  </si>
  <si>
    <t>427</t>
  </si>
  <si>
    <t>8912310307085</t>
  </si>
  <si>
    <t>0039336243</t>
  </si>
  <si>
    <t>428</t>
  </si>
  <si>
    <t>9101190136082</t>
  </si>
  <si>
    <t>1444376188</t>
  </si>
  <si>
    <t>429</t>
  </si>
  <si>
    <t>8404300654080</t>
  </si>
  <si>
    <t>2413749140</t>
  </si>
  <si>
    <t>43</t>
  </si>
  <si>
    <t>7402250108082</t>
  </si>
  <si>
    <t>0048502272</t>
  </si>
  <si>
    <t>430</t>
  </si>
  <si>
    <t>8611040587087</t>
  </si>
  <si>
    <t>2613552153</t>
  </si>
  <si>
    <t>431</t>
  </si>
  <si>
    <t>9102050181085</t>
  </si>
  <si>
    <t>0739700193</t>
  </si>
  <si>
    <t>432</t>
  </si>
  <si>
    <t>8112110311086</t>
  </si>
  <si>
    <t>0344046164</t>
  </si>
  <si>
    <t>433</t>
  </si>
  <si>
    <t>9310050452089</t>
  </si>
  <si>
    <t>0113004287</t>
  </si>
  <si>
    <t>434</t>
  </si>
  <si>
    <t>8810250561085</t>
  </si>
  <si>
    <t>2269874166</t>
  </si>
  <si>
    <t>435</t>
  </si>
  <si>
    <t>9102261037084</t>
  </si>
  <si>
    <t>3771295163</t>
  </si>
  <si>
    <t>436</t>
  </si>
  <si>
    <t>9101305143080</t>
  </si>
  <si>
    <t>0521921239</t>
  </si>
  <si>
    <t>437</t>
  </si>
  <si>
    <t>6206200220082</t>
  </si>
  <si>
    <t>0505356196</t>
  </si>
  <si>
    <t>438</t>
  </si>
  <si>
    <t>7909060534083</t>
  </si>
  <si>
    <t>0086175247</t>
  </si>
  <si>
    <t>439</t>
  </si>
  <si>
    <t>9112030335081</t>
  </si>
  <si>
    <t>2378891168</t>
  </si>
  <si>
    <t>44</t>
  </si>
  <si>
    <t>7504025099080</t>
  </si>
  <si>
    <t>2133314142</t>
  </si>
  <si>
    <t>440</t>
  </si>
  <si>
    <t>9504100046087</t>
  </si>
  <si>
    <t>0611676248</t>
  </si>
  <si>
    <t>441</t>
  </si>
  <si>
    <t>7812045449080</t>
  </si>
  <si>
    <t>2040522142</t>
  </si>
  <si>
    <t>442</t>
  </si>
  <si>
    <t>9103236206085</t>
  </si>
  <si>
    <t>3169504168</t>
  </si>
  <si>
    <t>443</t>
  </si>
  <si>
    <t>8704080586083</t>
  </si>
  <si>
    <t>1722621149</t>
  </si>
  <si>
    <t>444</t>
  </si>
  <si>
    <t>8312030487087</t>
  </si>
  <si>
    <t>445</t>
  </si>
  <si>
    <t>7712010451089</t>
  </si>
  <si>
    <t>0403951155</t>
  </si>
  <si>
    <t>446</t>
  </si>
  <si>
    <t>8402235605086</t>
  </si>
  <si>
    <t>0529573172</t>
  </si>
  <si>
    <t>447</t>
  </si>
  <si>
    <t>9210260514084</t>
  </si>
  <si>
    <t>0643574247</t>
  </si>
  <si>
    <t>448</t>
  </si>
  <si>
    <t>8412210554084</t>
  </si>
  <si>
    <t>1820038154</t>
  </si>
  <si>
    <t>449</t>
  </si>
  <si>
    <t>9501270219080</t>
  </si>
  <si>
    <t>2729160172</t>
  </si>
  <si>
    <t>45</t>
  </si>
  <si>
    <t>9204225192086</t>
  </si>
  <si>
    <t>0759609191</t>
  </si>
  <si>
    <t>450</t>
  </si>
  <si>
    <t>8609171281082</t>
  </si>
  <si>
    <t>2270167154</t>
  </si>
  <si>
    <t>451</t>
  </si>
  <si>
    <t>9306140090087</t>
  </si>
  <si>
    <t>2602991156</t>
  </si>
  <si>
    <t>452</t>
  </si>
  <si>
    <t>8305020920083</t>
  </si>
  <si>
    <t>1367999149</t>
  </si>
  <si>
    <t>454</t>
  </si>
  <si>
    <t>9311090043086</t>
  </si>
  <si>
    <t>456</t>
  </si>
  <si>
    <t>8204270806086</t>
  </si>
  <si>
    <t>0110995156</t>
  </si>
  <si>
    <t>458</t>
  </si>
  <si>
    <t>8507250751084</t>
  </si>
  <si>
    <t>1125375160</t>
  </si>
  <si>
    <t>459</t>
  </si>
  <si>
    <t>8307170719083</t>
  </si>
  <si>
    <t>1155894163</t>
  </si>
  <si>
    <t>46</t>
  </si>
  <si>
    <t>8401170221081</t>
  </si>
  <si>
    <t>0330379173</t>
  </si>
  <si>
    <t>460</t>
  </si>
  <si>
    <t>9505051723087</t>
  </si>
  <si>
    <t>0624565248</t>
  </si>
  <si>
    <t>461</t>
  </si>
  <si>
    <t>7407095771085</t>
  </si>
  <si>
    <t>2048707158</t>
  </si>
  <si>
    <t>462</t>
  </si>
  <si>
    <t>8610210527089</t>
  </si>
  <si>
    <t>0263792186</t>
  </si>
  <si>
    <t>463</t>
  </si>
  <si>
    <t>8610150771085</t>
  </si>
  <si>
    <t>0720691195</t>
  </si>
  <si>
    <t>464</t>
  </si>
  <si>
    <t>7701210213084</t>
  </si>
  <si>
    <t>3326149147</t>
  </si>
  <si>
    <t>465</t>
  </si>
  <si>
    <t>8011030643083</t>
  </si>
  <si>
    <t>0822515151</t>
  </si>
  <si>
    <t>466</t>
  </si>
  <si>
    <t>8610235889084</t>
  </si>
  <si>
    <t>1253937153</t>
  </si>
  <si>
    <t>467</t>
  </si>
  <si>
    <t>9110210217087</t>
  </si>
  <si>
    <t>2071658161</t>
  </si>
  <si>
    <t>468</t>
  </si>
  <si>
    <t>8409135894082</t>
  </si>
  <si>
    <t>0557907151</t>
  </si>
  <si>
    <t>469</t>
  </si>
  <si>
    <t>6212295838085</t>
  </si>
  <si>
    <t>0321485153</t>
  </si>
  <si>
    <t>47</t>
  </si>
  <si>
    <t>9205090143088</t>
  </si>
  <si>
    <t>0278554258</t>
  </si>
  <si>
    <t>470</t>
  </si>
  <si>
    <t>8008190408083</t>
  </si>
  <si>
    <t>2576504142</t>
  </si>
  <si>
    <t>471</t>
  </si>
  <si>
    <t>6510060020080</t>
  </si>
  <si>
    <t>0145544144</t>
  </si>
  <si>
    <t>473</t>
  </si>
  <si>
    <t>8607250438086</t>
  </si>
  <si>
    <t>1629976158</t>
  </si>
  <si>
    <t>474</t>
  </si>
  <si>
    <t>9504300062082</t>
  </si>
  <si>
    <t>475</t>
  </si>
  <si>
    <t>8405190253081</t>
  </si>
  <si>
    <t>0656989167</t>
  </si>
  <si>
    <t>476</t>
  </si>
  <si>
    <t>9111170215087</t>
  </si>
  <si>
    <t>0815606181</t>
  </si>
  <si>
    <t>478</t>
  </si>
  <si>
    <t>9401041253080</t>
  </si>
  <si>
    <t>3282529167</t>
  </si>
  <si>
    <t>479</t>
  </si>
  <si>
    <t>8104030294088</t>
  </si>
  <si>
    <t>0061984258</t>
  </si>
  <si>
    <t>48</t>
  </si>
  <si>
    <t>8708065153082</t>
  </si>
  <si>
    <t>0036486249</t>
  </si>
  <si>
    <t>480</t>
  </si>
  <si>
    <t>4309145027083</t>
  </si>
  <si>
    <t>0307016808</t>
  </si>
  <si>
    <t>481</t>
  </si>
  <si>
    <t>8707250404086</t>
  </si>
  <si>
    <t>0813550159</t>
  </si>
  <si>
    <t>483</t>
  </si>
  <si>
    <t>9612011271080</t>
  </si>
  <si>
    <t>0290301266</t>
  </si>
  <si>
    <t>484</t>
  </si>
  <si>
    <t>8912260351083</t>
  </si>
  <si>
    <t>485</t>
  </si>
  <si>
    <t>8312121203088</t>
  </si>
  <si>
    <t>2770330161</t>
  </si>
  <si>
    <t>486</t>
  </si>
  <si>
    <t>8101220475089</t>
  </si>
  <si>
    <t>2357576145</t>
  </si>
  <si>
    <t>488</t>
  </si>
  <si>
    <t>8003300580087</t>
  </si>
  <si>
    <t>3570385140</t>
  </si>
  <si>
    <t>49</t>
  </si>
  <si>
    <t>8910060042084</t>
  </si>
  <si>
    <t>2571510144</t>
  </si>
  <si>
    <t>490</t>
  </si>
  <si>
    <t>7108295399087</t>
  </si>
  <si>
    <t>0514001817</t>
  </si>
  <si>
    <t>491</t>
  </si>
  <si>
    <t>8606280941085</t>
  </si>
  <si>
    <t>2002229157</t>
  </si>
  <si>
    <t>492</t>
  </si>
  <si>
    <t>8306145360080</t>
  </si>
  <si>
    <t>1859895144</t>
  </si>
  <si>
    <t>493</t>
  </si>
  <si>
    <t>9107120286087</t>
  </si>
  <si>
    <t>1857715161</t>
  </si>
  <si>
    <t>494</t>
  </si>
  <si>
    <t>8205210791080</t>
  </si>
  <si>
    <t>0949156152</t>
  </si>
  <si>
    <t>495</t>
  </si>
  <si>
    <t>8112090344081</t>
  </si>
  <si>
    <t>0556795151</t>
  </si>
  <si>
    <t>496</t>
  </si>
  <si>
    <t>7707180591086</t>
  </si>
  <si>
    <t>2590486144</t>
  </si>
  <si>
    <t>497</t>
  </si>
  <si>
    <t>8404020806085</t>
  </si>
  <si>
    <t>3100967144</t>
  </si>
  <si>
    <t>498</t>
  </si>
  <si>
    <t>9104040593080</t>
  </si>
  <si>
    <t>50</t>
  </si>
  <si>
    <t>8107180053089</t>
  </si>
  <si>
    <t>3487061149</t>
  </si>
  <si>
    <t>500</t>
  </si>
  <si>
    <t>8311155160081</t>
  </si>
  <si>
    <t>1033166156</t>
  </si>
  <si>
    <t>501</t>
  </si>
  <si>
    <t>9003075921085</t>
  </si>
  <si>
    <t>2094831159</t>
  </si>
  <si>
    <t>502</t>
  </si>
  <si>
    <t>8906221201080</t>
  </si>
  <si>
    <t>0621197235</t>
  </si>
  <si>
    <t>504</t>
  </si>
  <si>
    <t>9010030934087</t>
  </si>
  <si>
    <t>0895317154</t>
  </si>
  <si>
    <t>505</t>
  </si>
  <si>
    <t>9006210091086</t>
  </si>
  <si>
    <t>0704075183</t>
  </si>
  <si>
    <t>507</t>
  </si>
  <si>
    <t>8502090142081</t>
  </si>
  <si>
    <t>2510652148</t>
  </si>
  <si>
    <t>508</t>
  </si>
  <si>
    <t>9307155103088</t>
  </si>
  <si>
    <t>509</t>
  </si>
  <si>
    <t>7703290448085</t>
  </si>
  <si>
    <t>0733099162</t>
  </si>
  <si>
    <t>51</t>
  </si>
  <si>
    <t>8107140242087</t>
  </si>
  <si>
    <t>1411326158</t>
  </si>
  <si>
    <t>510</t>
  </si>
  <si>
    <t>7212125180087</t>
  </si>
  <si>
    <t>0245095146</t>
  </si>
  <si>
    <t>511</t>
  </si>
  <si>
    <t>9301080153086</t>
  </si>
  <si>
    <t>3539768154</t>
  </si>
  <si>
    <t>512</t>
  </si>
  <si>
    <t>7401295091089</t>
  </si>
  <si>
    <t>1080010141</t>
  </si>
  <si>
    <t>M00085 - Mr QC Mouton</t>
  </si>
  <si>
    <t>513</t>
  </si>
  <si>
    <t>8612130122082</t>
  </si>
  <si>
    <t>1055154155</t>
  </si>
  <si>
    <t>514</t>
  </si>
  <si>
    <t>8304170642084</t>
  </si>
  <si>
    <t>1715848154</t>
  </si>
  <si>
    <t>515</t>
  </si>
  <si>
    <t>8211090452082</t>
  </si>
  <si>
    <t>0087705166</t>
  </si>
  <si>
    <t>517</t>
  </si>
  <si>
    <t>8409250959082</t>
  </si>
  <si>
    <t>1071457160</t>
  </si>
  <si>
    <t>519</t>
  </si>
  <si>
    <t>8008310278085</t>
  </si>
  <si>
    <t>2214593150</t>
  </si>
  <si>
    <t>52</t>
  </si>
  <si>
    <t>6506230213084</t>
  </si>
  <si>
    <t>0166403154</t>
  </si>
  <si>
    <t>520</t>
  </si>
  <si>
    <t>7610250485082</t>
  </si>
  <si>
    <t>1775904152</t>
  </si>
  <si>
    <t>521</t>
  </si>
  <si>
    <t>7611305058080</t>
  </si>
  <si>
    <t>0449130160</t>
  </si>
  <si>
    <t>522</t>
  </si>
  <si>
    <t>8107275016082</t>
  </si>
  <si>
    <t>0061481156</t>
  </si>
  <si>
    <t>523</t>
  </si>
  <si>
    <t>5605245022083</t>
  </si>
  <si>
    <t>0968113076</t>
  </si>
  <si>
    <t>524</t>
  </si>
  <si>
    <t>9001140347088</t>
  </si>
  <si>
    <t>0763668191</t>
  </si>
  <si>
    <t>525</t>
  </si>
  <si>
    <t>8302075708083</t>
  </si>
  <si>
    <t>1369205156</t>
  </si>
  <si>
    <t>526</t>
  </si>
  <si>
    <t>9207086162080</t>
  </si>
  <si>
    <t>1161227184</t>
  </si>
  <si>
    <t>527</t>
  </si>
  <si>
    <t>8808230359083</t>
  </si>
  <si>
    <t>2504317153</t>
  </si>
  <si>
    <t>528</t>
  </si>
  <si>
    <t>8406261095088</t>
  </si>
  <si>
    <t>2510779149</t>
  </si>
  <si>
    <t>529</t>
  </si>
  <si>
    <t>9604030279087</t>
  </si>
  <si>
    <t>0564019255</t>
  </si>
  <si>
    <t>530</t>
  </si>
  <si>
    <t>9109145785085</t>
  </si>
  <si>
    <t>3855088161</t>
  </si>
  <si>
    <t>531</t>
  </si>
  <si>
    <t>8106051024088</t>
  </si>
  <si>
    <t>0325317162</t>
  </si>
  <si>
    <t>532</t>
  </si>
  <si>
    <t>9302180360084</t>
  </si>
  <si>
    <t>1180349175</t>
  </si>
  <si>
    <t>533</t>
  </si>
  <si>
    <t>7404180343086</t>
  </si>
  <si>
    <t>0794305144</t>
  </si>
  <si>
    <t>535</t>
  </si>
  <si>
    <t>9210310296088</t>
  </si>
  <si>
    <t>0049404270</t>
  </si>
  <si>
    <t>536</t>
  </si>
  <si>
    <t>9002170354085</t>
  </si>
  <si>
    <t>1193999156</t>
  </si>
  <si>
    <t>537</t>
  </si>
  <si>
    <t>8111230547082</t>
  </si>
  <si>
    <t>0304314172</t>
  </si>
  <si>
    <t>538</t>
  </si>
  <si>
    <t>7204030472089</t>
  </si>
  <si>
    <t>0581816154</t>
  </si>
  <si>
    <t>539</t>
  </si>
  <si>
    <t>7504295386084</t>
  </si>
  <si>
    <t>0678204140</t>
  </si>
  <si>
    <t>540</t>
  </si>
  <si>
    <t>8406265439084</t>
  </si>
  <si>
    <t>0560415150</t>
  </si>
  <si>
    <t>541</t>
  </si>
  <si>
    <t>9102110189086</t>
  </si>
  <si>
    <t>0086414174</t>
  </si>
  <si>
    <t>542</t>
  </si>
  <si>
    <t>8503190613088</t>
  </si>
  <si>
    <t>1611776145</t>
  </si>
  <si>
    <t>543</t>
  </si>
  <si>
    <t>9104190370081</t>
  </si>
  <si>
    <t>544</t>
  </si>
  <si>
    <t>9203055462080</t>
  </si>
  <si>
    <t>1455397172</t>
  </si>
  <si>
    <t>545</t>
  </si>
  <si>
    <t>8904031148088</t>
  </si>
  <si>
    <t>2000266151</t>
  </si>
  <si>
    <t>546</t>
  </si>
  <si>
    <t>9102275711088</t>
  </si>
  <si>
    <t>0066682261</t>
  </si>
  <si>
    <t>547</t>
  </si>
  <si>
    <t>7911065627086</t>
  </si>
  <si>
    <t>0481527166</t>
  </si>
  <si>
    <t>548</t>
  </si>
  <si>
    <t>8906096023080</t>
  </si>
  <si>
    <t>2153605155</t>
  </si>
  <si>
    <t>55</t>
  </si>
  <si>
    <t>5802135055089</t>
  </si>
  <si>
    <t>0186621231</t>
  </si>
  <si>
    <t>551</t>
  </si>
  <si>
    <t>9308030204083</t>
  </si>
  <si>
    <t>3585949153</t>
  </si>
  <si>
    <t>552</t>
  </si>
  <si>
    <t>7507235158083</t>
  </si>
  <si>
    <t>1153552144</t>
  </si>
  <si>
    <t>553</t>
  </si>
  <si>
    <t>8503190206081</t>
  </si>
  <si>
    <t>0433420155</t>
  </si>
  <si>
    <t>554</t>
  </si>
  <si>
    <t>M01246</t>
  </si>
  <si>
    <t>Lorraine</t>
  </si>
  <si>
    <t>7410130244084</t>
  </si>
  <si>
    <t>2338208149</t>
  </si>
  <si>
    <t>555</t>
  </si>
  <si>
    <t>8510060010089</t>
  </si>
  <si>
    <t>0248873168</t>
  </si>
  <si>
    <t>556</t>
  </si>
  <si>
    <t>8502240072089</t>
  </si>
  <si>
    <t>1463641140</t>
  </si>
  <si>
    <t>557</t>
  </si>
  <si>
    <t>8605045662085</t>
  </si>
  <si>
    <t>558</t>
  </si>
  <si>
    <t>6812110370089</t>
  </si>
  <si>
    <t>0106133838</t>
  </si>
  <si>
    <t>559</t>
  </si>
  <si>
    <t>9307100844083</t>
  </si>
  <si>
    <t>56</t>
  </si>
  <si>
    <t>8601290115085</t>
  </si>
  <si>
    <t>0765131164</t>
  </si>
  <si>
    <t>560</t>
  </si>
  <si>
    <t>8708300728086</t>
  </si>
  <si>
    <t>2226495162</t>
  </si>
  <si>
    <t>562</t>
  </si>
  <si>
    <t>9408240176087</t>
  </si>
  <si>
    <t>2633612169</t>
  </si>
  <si>
    <t>563</t>
  </si>
  <si>
    <t>9308180157081</t>
  </si>
  <si>
    <t>0564829232</t>
  </si>
  <si>
    <t>565</t>
  </si>
  <si>
    <t>9003055157080</t>
  </si>
  <si>
    <t>1101836169</t>
  </si>
  <si>
    <t>566</t>
  </si>
  <si>
    <t>8812090106089</t>
  </si>
  <si>
    <t>2287161158</t>
  </si>
  <si>
    <t>567</t>
  </si>
  <si>
    <t>9109160274080</t>
  </si>
  <si>
    <t>568</t>
  </si>
  <si>
    <t>5709245079083</t>
  </si>
  <si>
    <t>2500738030</t>
  </si>
  <si>
    <t>569</t>
  </si>
  <si>
    <t>5611285014089</t>
  </si>
  <si>
    <t>1521067643</t>
  </si>
  <si>
    <t>570</t>
  </si>
  <si>
    <t>7403020069083</t>
  </si>
  <si>
    <t>1750179143</t>
  </si>
  <si>
    <t>571</t>
  </si>
  <si>
    <t>7301165257085</t>
  </si>
  <si>
    <t>3619293149</t>
  </si>
  <si>
    <t>572</t>
  </si>
  <si>
    <t>9211170104081</t>
  </si>
  <si>
    <t>0455164251</t>
  </si>
  <si>
    <t>573</t>
  </si>
  <si>
    <t>8209300796082</t>
  </si>
  <si>
    <t>3628301156</t>
  </si>
  <si>
    <t>574</t>
  </si>
  <si>
    <t>8905110777085</t>
  </si>
  <si>
    <t>575</t>
  </si>
  <si>
    <t>8006160187083</t>
  </si>
  <si>
    <t>0046351151</t>
  </si>
  <si>
    <t>576</t>
  </si>
  <si>
    <t>8609135188084</t>
  </si>
  <si>
    <t>0070749247</t>
  </si>
  <si>
    <t>578</t>
  </si>
  <si>
    <t>8408225628087</t>
  </si>
  <si>
    <t>0324171164</t>
  </si>
  <si>
    <t>579</t>
  </si>
  <si>
    <t>7809280891083</t>
  </si>
  <si>
    <t>1052222153</t>
  </si>
  <si>
    <t>58</t>
  </si>
  <si>
    <t>2798652166</t>
  </si>
  <si>
    <t>580</t>
  </si>
  <si>
    <t>8802040482086</t>
  </si>
  <si>
    <t>3332434145</t>
  </si>
  <si>
    <t>581</t>
  </si>
  <si>
    <t>8907300098082</t>
  </si>
  <si>
    <t>3997307149</t>
  </si>
  <si>
    <t>582</t>
  </si>
  <si>
    <t>7405170413086</t>
  </si>
  <si>
    <t>2557173149</t>
  </si>
  <si>
    <t>583</t>
  </si>
  <si>
    <t>9306020104081</t>
  </si>
  <si>
    <t>1750078170</t>
  </si>
  <si>
    <t>584</t>
  </si>
  <si>
    <t>8805260594084</t>
  </si>
  <si>
    <t>3308379159</t>
  </si>
  <si>
    <t>585</t>
  </si>
  <si>
    <t>8903045076087</t>
  </si>
  <si>
    <t>0561182171</t>
  </si>
  <si>
    <t>586</t>
  </si>
  <si>
    <t>8901140046088</t>
  </si>
  <si>
    <t>1111399182</t>
  </si>
  <si>
    <t>587</t>
  </si>
  <si>
    <t>8501225733087</t>
  </si>
  <si>
    <t>0744646159</t>
  </si>
  <si>
    <t>588</t>
  </si>
  <si>
    <t>9405180246086</t>
  </si>
  <si>
    <t>0295310254</t>
  </si>
  <si>
    <t>589</t>
  </si>
  <si>
    <t>8101205160086</t>
  </si>
  <si>
    <t>0456805167</t>
  </si>
  <si>
    <t>590</t>
  </si>
  <si>
    <t>8202155041084</t>
  </si>
  <si>
    <t>3545197141</t>
  </si>
  <si>
    <t>591</t>
  </si>
  <si>
    <t>8912210336085</t>
  </si>
  <si>
    <t>2353305168</t>
  </si>
  <si>
    <t>592</t>
  </si>
  <si>
    <t>9309030140087</t>
  </si>
  <si>
    <t>2948405168</t>
  </si>
  <si>
    <t>593</t>
  </si>
  <si>
    <t>9005080077084</t>
  </si>
  <si>
    <t>594</t>
  </si>
  <si>
    <t>9609025485086</t>
  </si>
  <si>
    <t>0556081263</t>
  </si>
  <si>
    <t>596</t>
  </si>
  <si>
    <t>9001040220088</t>
  </si>
  <si>
    <t>1908291154</t>
  </si>
  <si>
    <t>598</t>
  </si>
  <si>
    <t>7006305118085</t>
  </si>
  <si>
    <t>599</t>
  </si>
  <si>
    <t>8110050060085</t>
  </si>
  <si>
    <t>0551790157</t>
  </si>
  <si>
    <t>600</t>
  </si>
  <si>
    <t>5708050069007</t>
  </si>
  <si>
    <t>601</t>
  </si>
  <si>
    <t>8909025004080</t>
  </si>
  <si>
    <t>1913740146</t>
  </si>
  <si>
    <t>602</t>
  </si>
  <si>
    <t>9208080144082</t>
  </si>
  <si>
    <t>2852425160</t>
  </si>
  <si>
    <t>603</t>
  </si>
  <si>
    <t>8305175154082</t>
  </si>
  <si>
    <t>604</t>
  </si>
  <si>
    <t>5809265061084</t>
  </si>
  <si>
    <t>0270033814</t>
  </si>
  <si>
    <t>605</t>
  </si>
  <si>
    <t>9405160255081</t>
  </si>
  <si>
    <t>606</t>
  </si>
  <si>
    <t>8101045107081</t>
  </si>
  <si>
    <t>0062862156</t>
  </si>
  <si>
    <t>607</t>
  </si>
  <si>
    <t>5908245192082</t>
  </si>
  <si>
    <t>609</t>
  </si>
  <si>
    <t>7803165154089</t>
  </si>
  <si>
    <t>61</t>
  </si>
  <si>
    <t>8208295014089</t>
  </si>
  <si>
    <t>1410740144</t>
  </si>
  <si>
    <t>610</t>
  </si>
  <si>
    <t>8405290241085</t>
  </si>
  <si>
    <t>611</t>
  </si>
  <si>
    <t>9608170116082</t>
  </si>
  <si>
    <t>612</t>
  </si>
  <si>
    <t>9310110111089</t>
  </si>
  <si>
    <t>0896139649</t>
  </si>
  <si>
    <t>613</t>
  </si>
  <si>
    <t>9309080070085</t>
  </si>
  <si>
    <t>3308124845</t>
  </si>
  <si>
    <t>614</t>
  </si>
  <si>
    <t>6404035003084</t>
  </si>
  <si>
    <t>616</t>
  </si>
  <si>
    <t>9304220316084</t>
  </si>
  <si>
    <t>0082331281</t>
  </si>
  <si>
    <t>617</t>
  </si>
  <si>
    <t>7706240244082</t>
  </si>
  <si>
    <t>618</t>
  </si>
  <si>
    <t>8402021136080</t>
  </si>
  <si>
    <t>619</t>
  </si>
  <si>
    <t>9102260098087</t>
  </si>
  <si>
    <t>62</t>
  </si>
  <si>
    <t>9105240178085</t>
  </si>
  <si>
    <t>1385282155</t>
  </si>
  <si>
    <t>620</t>
  </si>
  <si>
    <t>6110085032085</t>
  </si>
  <si>
    <t>1151034202</t>
  </si>
  <si>
    <t>621</t>
  </si>
  <si>
    <t>8804220733080</t>
  </si>
  <si>
    <t>3891680153</t>
  </si>
  <si>
    <t>CONTRACT - Contractor Worker</t>
  </si>
  <si>
    <t>622</t>
  </si>
  <si>
    <t>8903200372081</t>
  </si>
  <si>
    <t>2114843150</t>
  </si>
  <si>
    <t>623</t>
  </si>
  <si>
    <t>9003091078084</t>
  </si>
  <si>
    <t>3138569144</t>
  </si>
  <si>
    <t>624</t>
  </si>
  <si>
    <t>7208185520089</t>
  </si>
  <si>
    <t>625</t>
  </si>
  <si>
    <t>9005291185080</t>
  </si>
  <si>
    <t>0163839186</t>
  </si>
  <si>
    <t>627</t>
  </si>
  <si>
    <t>7904050463088</t>
  </si>
  <si>
    <t>628</t>
  </si>
  <si>
    <t>9010260330089</t>
  </si>
  <si>
    <t>0898509153</t>
  </si>
  <si>
    <t>629</t>
  </si>
  <si>
    <t>6812085207084</t>
  </si>
  <si>
    <t>2837086202</t>
  </si>
  <si>
    <t>63</t>
  </si>
  <si>
    <t>9103231149082</t>
  </si>
  <si>
    <t>0673305173</t>
  </si>
  <si>
    <t>630</t>
  </si>
  <si>
    <t>7908140387082</t>
  </si>
  <si>
    <t>0068325166</t>
  </si>
  <si>
    <t>631</t>
  </si>
  <si>
    <t>8601295275082</t>
  </si>
  <si>
    <t>0100054170</t>
  </si>
  <si>
    <t>632</t>
  </si>
  <si>
    <t>9112250112087</t>
  </si>
  <si>
    <t>633</t>
  </si>
  <si>
    <t>7105150539088</t>
  </si>
  <si>
    <t>634</t>
  </si>
  <si>
    <t>8611070644089</t>
  </si>
  <si>
    <t>3187516145</t>
  </si>
  <si>
    <t>635</t>
  </si>
  <si>
    <t>9201045043085</t>
  </si>
  <si>
    <t>0735382178</t>
  </si>
  <si>
    <t>636</t>
  </si>
  <si>
    <t>9401150139088</t>
  </si>
  <si>
    <t>637</t>
  </si>
  <si>
    <t>8601060936082</t>
  </si>
  <si>
    <t>3102968140</t>
  </si>
  <si>
    <t>638</t>
  </si>
  <si>
    <t>8408140684082</t>
  </si>
  <si>
    <t>639</t>
  </si>
  <si>
    <t>8510250176088</t>
  </si>
  <si>
    <t>3853722159</t>
  </si>
  <si>
    <t>64</t>
  </si>
  <si>
    <t>9211130411089</t>
  </si>
  <si>
    <t>0272363243</t>
  </si>
  <si>
    <t>642</t>
  </si>
  <si>
    <t>8708231085085</t>
  </si>
  <si>
    <t>643</t>
  </si>
  <si>
    <t>8103165286083</t>
  </si>
  <si>
    <t>1131957142</t>
  </si>
  <si>
    <t>645</t>
  </si>
  <si>
    <t>9501240205086</t>
  </si>
  <si>
    <t>1056050238</t>
  </si>
  <si>
    <t>646</t>
  </si>
  <si>
    <t>9510210152087</t>
  </si>
  <si>
    <t>1992214179</t>
  </si>
  <si>
    <t>647</t>
  </si>
  <si>
    <t>7609135137082</t>
  </si>
  <si>
    <t>649</t>
  </si>
  <si>
    <t>8303290765080</t>
  </si>
  <si>
    <t>65</t>
  </si>
  <si>
    <t>9208300152089</t>
  </si>
  <si>
    <t>650</t>
  </si>
  <si>
    <t>9205255364081</t>
  </si>
  <si>
    <t>651</t>
  </si>
  <si>
    <t>7603235667080</t>
  </si>
  <si>
    <t>652</t>
  </si>
  <si>
    <t>8004040792081</t>
  </si>
  <si>
    <t>654</t>
  </si>
  <si>
    <t>8110030171085</t>
  </si>
  <si>
    <t>1314070028</t>
  </si>
  <si>
    <t>655</t>
  </si>
  <si>
    <t>8312015169080</t>
  </si>
  <si>
    <t>656</t>
  </si>
  <si>
    <t>6508205014083</t>
  </si>
  <si>
    <t>657</t>
  </si>
  <si>
    <t>8504145052083</t>
  </si>
  <si>
    <t>DS - Discharged</t>
  </si>
  <si>
    <t>2386876144</t>
  </si>
  <si>
    <t>658</t>
  </si>
  <si>
    <t>8305065047081</t>
  </si>
  <si>
    <t>1130827148</t>
  </si>
  <si>
    <t>66</t>
  </si>
  <si>
    <t>9308285087084</t>
  </si>
  <si>
    <t>1900404169</t>
  </si>
  <si>
    <t>660</t>
  </si>
  <si>
    <t>8902110426086</t>
  </si>
  <si>
    <t>662</t>
  </si>
  <si>
    <t>9110185406087</t>
  </si>
  <si>
    <t>3165821160</t>
  </si>
  <si>
    <t>663</t>
  </si>
  <si>
    <t>7907310390082</t>
  </si>
  <si>
    <t>2765467143</t>
  </si>
  <si>
    <t>664</t>
  </si>
  <si>
    <t>M01066</t>
  </si>
  <si>
    <t>Soomesh</t>
  </si>
  <si>
    <t>Maharaj</t>
  </si>
  <si>
    <t>7802095106086</t>
  </si>
  <si>
    <t>665</t>
  </si>
  <si>
    <t>7501101193084</t>
  </si>
  <si>
    <t>1764605141</t>
  </si>
  <si>
    <t>666</t>
  </si>
  <si>
    <t>M01047</t>
  </si>
  <si>
    <t>Spyridis</t>
  </si>
  <si>
    <t>7302140163083</t>
  </si>
  <si>
    <t>T03 - Trainer</t>
  </si>
  <si>
    <t>667</t>
  </si>
  <si>
    <t>M00386</t>
  </si>
  <si>
    <t>EP</t>
  </si>
  <si>
    <t>Eugene</t>
  </si>
  <si>
    <t>Stander</t>
  </si>
  <si>
    <t>8301165032081</t>
  </si>
  <si>
    <t>1046655146</t>
  </si>
  <si>
    <t>H10 - HOD Revenue Accounting</t>
  </si>
  <si>
    <t>668</t>
  </si>
  <si>
    <t>7008185022080</t>
  </si>
  <si>
    <t>3873005205</t>
  </si>
  <si>
    <t>669</t>
  </si>
  <si>
    <t>8403055012080</t>
  </si>
  <si>
    <t>0734004245</t>
  </si>
  <si>
    <t>670</t>
  </si>
  <si>
    <t>8204135011088</t>
  </si>
  <si>
    <t>0177315280</t>
  </si>
  <si>
    <t>671</t>
  </si>
  <si>
    <t>8707170151080</t>
  </si>
  <si>
    <t>672</t>
  </si>
  <si>
    <t>6408200127081</t>
  </si>
  <si>
    <t>673</t>
  </si>
  <si>
    <t>5603315082087</t>
  </si>
  <si>
    <t>0445850142</t>
  </si>
  <si>
    <t>674</t>
  </si>
  <si>
    <t>7309280182088</t>
  </si>
  <si>
    <t>1358349163</t>
  </si>
  <si>
    <t>675</t>
  </si>
  <si>
    <t>7510195129086</t>
  </si>
  <si>
    <t>0372366153</t>
  </si>
  <si>
    <t>676</t>
  </si>
  <si>
    <t>8903190124088</t>
  </si>
  <si>
    <t>2936080163</t>
  </si>
  <si>
    <t>677</t>
  </si>
  <si>
    <t>8305305166089</t>
  </si>
  <si>
    <t>0465045169</t>
  </si>
  <si>
    <t>678</t>
  </si>
  <si>
    <t>8209200046083</t>
  </si>
  <si>
    <t>3103200154</t>
  </si>
  <si>
    <t>679</t>
  </si>
  <si>
    <t>7809045047088</t>
  </si>
  <si>
    <t>1086169149</t>
  </si>
  <si>
    <t>68</t>
  </si>
  <si>
    <t>6110225002089</t>
  </si>
  <si>
    <t>0100085836</t>
  </si>
  <si>
    <t>680</t>
  </si>
  <si>
    <t>8910285169084</t>
  </si>
  <si>
    <t>681</t>
  </si>
  <si>
    <t>9010185113081</t>
  </si>
  <si>
    <t>2342640162</t>
  </si>
  <si>
    <t>683</t>
  </si>
  <si>
    <t>8009220617081</t>
  </si>
  <si>
    <t>0461214165</t>
  </si>
  <si>
    <t>684</t>
  </si>
  <si>
    <t>9610290249082</t>
  </si>
  <si>
    <t>3929221160</t>
  </si>
  <si>
    <t>685</t>
  </si>
  <si>
    <t>8908240276085</t>
  </si>
  <si>
    <t>686</t>
  </si>
  <si>
    <t>7209065101081</t>
  </si>
  <si>
    <t>687</t>
  </si>
  <si>
    <t>9001280408088</t>
  </si>
  <si>
    <t>0177546165</t>
  </si>
  <si>
    <t>688</t>
  </si>
  <si>
    <t>9304280714087</t>
  </si>
  <si>
    <t>1265475150</t>
  </si>
  <si>
    <t>689</t>
  </si>
  <si>
    <t>9208031301088</t>
  </si>
  <si>
    <t>3446710141</t>
  </si>
  <si>
    <t>69</t>
  </si>
  <si>
    <t>7403215081083</t>
  </si>
  <si>
    <t>0363004094</t>
  </si>
  <si>
    <t>692</t>
  </si>
  <si>
    <t>8003240510087</t>
  </si>
  <si>
    <t>1125244192</t>
  </si>
  <si>
    <t>693</t>
  </si>
  <si>
    <t>8410295015088</t>
  </si>
  <si>
    <t>0135528271</t>
  </si>
  <si>
    <t>694</t>
  </si>
  <si>
    <t>8901115218084</t>
  </si>
  <si>
    <t>0091538256</t>
  </si>
  <si>
    <t>696</t>
  </si>
  <si>
    <t>8812191240084</t>
  </si>
  <si>
    <t>1285122188</t>
  </si>
  <si>
    <t>698</t>
  </si>
  <si>
    <t>8704080970089</t>
  </si>
  <si>
    <t>2731667149</t>
  </si>
  <si>
    <t>70</t>
  </si>
  <si>
    <t>7203295200086</t>
  </si>
  <si>
    <t>1567051147</t>
  </si>
  <si>
    <t>700</t>
  </si>
  <si>
    <t>8501090472084</t>
  </si>
  <si>
    <t>0948077169</t>
  </si>
  <si>
    <t>701</t>
  </si>
  <si>
    <t>6412025073082</t>
  </si>
  <si>
    <t>3933386165</t>
  </si>
  <si>
    <t>702</t>
  </si>
  <si>
    <t>7809065012087</t>
  </si>
  <si>
    <t>0160101283</t>
  </si>
  <si>
    <t>703</t>
  </si>
  <si>
    <t>8609230111080</t>
  </si>
  <si>
    <t>704</t>
  </si>
  <si>
    <t>8902110133088</t>
  </si>
  <si>
    <t>705</t>
  </si>
  <si>
    <t>8303095045084</t>
  </si>
  <si>
    <t>0756108643</t>
  </si>
  <si>
    <t>706</t>
  </si>
  <si>
    <t>6901205302089</t>
  </si>
  <si>
    <t>707</t>
  </si>
  <si>
    <t>5610195040085</t>
  </si>
  <si>
    <t>M00386 - Mr EP Stander</t>
  </si>
  <si>
    <t>708</t>
  </si>
  <si>
    <t>6311055056084</t>
  </si>
  <si>
    <t>0350491874</t>
  </si>
  <si>
    <t>709</t>
  </si>
  <si>
    <t>Van Jaarsveld</t>
  </si>
  <si>
    <t>8409030062082</t>
  </si>
  <si>
    <t>0079974283</t>
  </si>
  <si>
    <t>71</t>
  </si>
  <si>
    <t>8103190031082</t>
  </si>
  <si>
    <t>2311150151</t>
  </si>
  <si>
    <t>710</t>
  </si>
  <si>
    <t>7604035036088</t>
  </si>
  <si>
    <t>711</t>
  </si>
  <si>
    <t>8101275132080</t>
  </si>
  <si>
    <t>712</t>
  </si>
  <si>
    <t>8205025097087</t>
  </si>
  <si>
    <t>713</t>
  </si>
  <si>
    <t>9103240013089</t>
  </si>
  <si>
    <t>0280936253</t>
  </si>
  <si>
    <t>714</t>
  </si>
  <si>
    <t>9105075035087</t>
  </si>
  <si>
    <t>0845880186</t>
  </si>
  <si>
    <t>715</t>
  </si>
  <si>
    <t>8311010113085</t>
  </si>
  <si>
    <t>1750556142</t>
  </si>
  <si>
    <t>716</t>
  </si>
  <si>
    <t>7607295063080</t>
  </si>
  <si>
    <t>1657349146</t>
  </si>
  <si>
    <t>717</t>
  </si>
  <si>
    <t>9108140171085</t>
  </si>
  <si>
    <t>1816715179</t>
  </si>
  <si>
    <t>718</t>
  </si>
  <si>
    <t>6706190175089</t>
  </si>
  <si>
    <t>1235155643</t>
  </si>
  <si>
    <t>719</t>
  </si>
  <si>
    <t>8502010061080</t>
  </si>
  <si>
    <t>72</t>
  </si>
  <si>
    <t>9311300288083</t>
  </si>
  <si>
    <t>0171700255</t>
  </si>
  <si>
    <t>720</t>
  </si>
  <si>
    <t>8709290208089</t>
  </si>
  <si>
    <t>0523949154</t>
  </si>
  <si>
    <t>721</t>
  </si>
  <si>
    <t>9304010031083</t>
  </si>
  <si>
    <t>0024812182</t>
  </si>
  <si>
    <t>722</t>
  </si>
  <si>
    <t>8304010029088</t>
  </si>
  <si>
    <t>2053497174</t>
  </si>
  <si>
    <t>723</t>
  </si>
  <si>
    <t>6107295199084</t>
  </si>
  <si>
    <t>0422132878</t>
  </si>
  <si>
    <t>TEMP - Temporary / Part Time</t>
  </si>
  <si>
    <t>724</t>
  </si>
  <si>
    <t>7403155010084</t>
  </si>
  <si>
    <t>0583033253</t>
  </si>
  <si>
    <t>725</t>
  </si>
  <si>
    <t>M00232</t>
  </si>
  <si>
    <t>AK</t>
  </si>
  <si>
    <t>Ann</t>
  </si>
  <si>
    <t>Verster</t>
  </si>
  <si>
    <t>6106030082084</t>
  </si>
  <si>
    <t xml:space="preserve">H11 - HOD Revenue Management </t>
  </si>
  <si>
    <t>726</t>
  </si>
  <si>
    <t>9209045215082</t>
  </si>
  <si>
    <t>0873243232</t>
  </si>
  <si>
    <t>727</t>
  </si>
  <si>
    <t>8301035191083</t>
  </si>
  <si>
    <t>2923354142</t>
  </si>
  <si>
    <t>728</t>
  </si>
  <si>
    <t>4712085035083</t>
  </si>
  <si>
    <t>729</t>
  </si>
  <si>
    <t>9305230105086</t>
  </si>
  <si>
    <t>2849463159</t>
  </si>
  <si>
    <t>73</t>
  </si>
  <si>
    <t>8601245018087</t>
  </si>
  <si>
    <t>0764326161</t>
  </si>
  <si>
    <t>730</t>
  </si>
  <si>
    <t>8210185005086</t>
  </si>
  <si>
    <t>0657572244</t>
  </si>
  <si>
    <t>731</t>
  </si>
  <si>
    <t>7111105382087</t>
  </si>
  <si>
    <t>732</t>
  </si>
  <si>
    <t>6504295183086</t>
  </si>
  <si>
    <t>3855145169</t>
  </si>
  <si>
    <t>733</t>
  </si>
  <si>
    <t>9309230029080</t>
  </si>
  <si>
    <t>0531141265</t>
  </si>
  <si>
    <t>734</t>
  </si>
  <si>
    <t>9503315054084</t>
  </si>
  <si>
    <t>736</t>
  </si>
  <si>
    <t>7603045187089</t>
  </si>
  <si>
    <t>737</t>
  </si>
  <si>
    <t>8503310056085</t>
  </si>
  <si>
    <t>FSO - FSO Technical</t>
  </si>
  <si>
    <t>738</t>
  </si>
  <si>
    <t>7002195123087</t>
  </si>
  <si>
    <t>739</t>
  </si>
  <si>
    <t>9102170327089</t>
  </si>
  <si>
    <t>74</t>
  </si>
  <si>
    <t>9012200046080</t>
  </si>
  <si>
    <t>0057678195</t>
  </si>
  <si>
    <t>740</t>
  </si>
  <si>
    <t>7401030121084</t>
  </si>
  <si>
    <t>741</t>
  </si>
  <si>
    <t>9006100111085</t>
  </si>
  <si>
    <t>1114868183</t>
  </si>
  <si>
    <t>742</t>
  </si>
  <si>
    <t>8104155019088</t>
  </si>
  <si>
    <t>744</t>
  </si>
  <si>
    <t>9212020130086</t>
  </si>
  <si>
    <t>745</t>
  </si>
  <si>
    <t>8201120272089</t>
  </si>
  <si>
    <t>746</t>
  </si>
  <si>
    <t>9110165194083</t>
  </si>
  <si>
    <t>2950912168</t>
  </si>
  <si>
    <t>747</t>
  </si>
  <si>
    <t>7204040148083</t>
  </si>
  <si>
    <t>1180412189</t>
  </si>
  <si>
    <t>748</t>
  </si>
  <si>
    <t>8512195104084</t>
  </si>
  <si>
    <t>749</t>
  </si>
  <si>
    <t>5806180024080</t>
  </si>
  <si>
    <t>750</t>
  </si>
  <si>
    <t>7511255006081</t>
  </si>
  <si>
    <t>752</t>
  </si>
  <si>
    <t>8810085495087</t>
  </si>
  <si>
    <t>753</t>
  </si>
  <si>
    <t>8809101018089</t>
  </si>
  <si>
    <t>1469770141</t>
  </si>
  <si>
    <t>754</t>
  </si>
  <si>
    <t>8904250064081</t>
  </si>
  <si>
    <t>0872226196</t>
  </si>
  <si>
    <t>756</t>
  </si>
  <si>
    <t>9509151141083</t>
  </si>
  <si>
    <t>757</t>
  </si>
  <si>
    <t>6502280273086</t>
  </si>
  <si>
    <t>0337645261</t>
  </si>
  <si>
    <t>76</t>
  </si>
  <si>
    <t>8306100091084</t>
  </si>
  <si>
    <t>0962686150</t>
  </si>
  <si>
    <t>77</t>
  </si>
  <si>
    <t>7906060051084</t>
  </si>
  <si>
    <t>2622171144</t>
  </si>
  <si>
    <t>78</t>
  </si>
  <si>
    <t>8004255852083</t>
  </si>
  <si>
    <t>789</t>
  </si>
  <si>
    <t>8812110545084</t>
  </si>
  <si>
    <t>0177404183</t>
  </si>
  <si>
    <t>79</t>
  </si>
  <si>
    <t>8104280179088</t>
  </si>
  <si>
    <t>2477464149</t>
  </si>
  <si>
    <t>796</t>
  </si>
  <si>
    <t>8903125075082</t>
  </si>
  <si>
    <t>0158730234</t>
  </si>
  <si>
    <t>797</t>
  </si>
  <si>
    <t>7712205009080</t>
  </si>
  <si>
    <t>1528010141</t>
  </si>
  <si>
    <t>798</t>
  </si>
  <si>
    <t>7703310049087</t>
  </si>
  <si>
    <t>3667041143</t>
  </si>
  <si>
    <t>80</t>
  </si>
  <si>
    <t>7810065085081</t>
  </si>
  <si>
    <t>0398854141</t>
  </si>
  <si>
    <t>800</t>
  </si>
  <si>
    <t>8902265171081</t>
  </si>
  <si>
    <t>801</t>
  </si>
  <si>
    <t>6706235034085</t>
  </si>
  <si>
    <t>0003381027</t>
  </si>
  <si>
    <t>OTHER - Other</t>
  </si>
  <si>
    <t>808</t>
  </si>
  <si>
    <t>9402250353082</t>
  </si>
  <si>
    <t>1686764174</t>
  </si>
  <si>
    <t>809</t>
  </si>
  <si>
    <t>9507180029089</t>
  </si>
  <si>
    <t>0813908233</t>
  </si>
  <si>
    <t>81</t>
  </si>
  <si>
    <t>8401090141088</t>
  </si>
  <si>
    <t>2776914141</t>
  </si>
  <si>
    <t>810</t>
  </si>
  <si>
    <t>8508125374086</t>
  </si>
  <si>
    <t>2125404158</t>
  </si>
  <si>
    <t>811</t>
  </si>
  <si>
    <t>9505120234082</t>
  </si>
  <si>
    <t>2103011173</t>
  </si>
  <si>
    <t>812</t>
  </si>
  <si>
    <t>9109200140085</t>
  </si>
  <si>
    <t>0674936190</t>
  </si>
  <si>
    <t>813</t>
  </si>
  <si>
    <t>9604175129089</t>
  </si>
  <si>
    <t>1199979186</t>
  </si>
  <si>
    <t>814</t>
  </si>
  <si>
    <t>9501180348086</t>
  </si>
  <si>
    <t>0202615274</t>
  </si>
  <si>
    <t>815</t>
  </si>
  <si>
    <t>8902030126089</t>
  </si>
  <si>
    <t>3172875142</t>
  </si>
  <si>
    <t>816</t>
  </si>
  <si>
    <t>9603200340083</t>
  </si>
  <si>
    <t>3036984163</t>
  </si>
  <si>
    <t>817</t>
  </si>
  <si>
    <t>9612030403086</t>
  </si>
  <si>
    <t>1224194199</t>
  </si>
  <si>
    <t>818</t>
  </si>
  <si>
    <t>9407220214082</t>
  </si>
  <si>
    <t>0900608183</t>
  </si>
  <si>
    <t>819</t>
  </si>
  <si>
    <t>9705020218082</t>
  </si>
  <si>
    <t>0149284283</t>
  </si>
  <si>
    <t>82</t>
  </si>
  <si>
    <t>8212255355086</t>
  </si>
  <si>
    <t>0340776160</t>
  </si>
  <si>
    <t>820</t>
  </si>
  <si>
    <t>9310145288084</t>
  </si>
  <si>
    <t>1657955173</t>
  </si>
  <si>
    <t>821</t>
  </si>
  <si>
    <t>9501110424080</t>
  </si>
  <si>
    <t>0267279271</t>
  </si>
  <si>
    <t>822</t>
  </si>
  <si>
    <t>9605065361088</t>
  </si>
  <si>
    <t>1403621186</t>
  </si>
  <si>
    <t>824</t>
  </si>
  <si>
    <t>9412100075082</t>
  </si>
  <si>
    <t>2733542167</t>
  </si>
  <si>
    <t>825</t>
  </si>
  <si>
    <t>9505090129080</t>
  </si>
  <si>
    <t>3961428160</t>
  </si>
  <si>
    <t>826</t>
  </si>
  <si>
    <t>M01437</t>
  </si>
  <si>
    <t>MQ</t>
  </si>
  <si>
    <t>Mdhlalose</t>
  </si>
  <si>
    <t>8707290283086</t>
  </si>
  <si>
    <t>1456080173</t>
  </si>
  <si>
    <t>I05 - Intern</t>
  </si>
  <si>
    <t>TEMP - Temporary</t>
  </si>
  <si>
    <t>827</t>
  </si>
  <si>
    <t>M01436</t>
  </si>
  <si>
    <t>KG</t>
  </si>
  <si>
    <t>Ranyane</t>
  </si>
  <si>
    <t>9101140462083</t>
  </si>
  <si>
    <t>0673308235</t>
  </si>
  <si>
    <t>828</t>
  </si>
  <si>
    <t>8201060228083</t>
  </si>
  <si>
    <t>829</t>
  </si>
  <si>
    <t>8811086007087</t>
  </si>
  <si>
    <t>2472870167</t>
  </si>
  <si>
    <t>83</t>
  </si>
  <si>
    <t>9205125241089</t>
  </si>
  <si>
    <t>2807244161</t>
  </si>
  <si>
    <t>830</t>
  </si>
  <si>
    <t>8702140787089</t>
  </si>
  <si>
    <t>3887306144</t>
  </si>
  <si>
    <t>84</t>
  </si>
  <si>
    <t>8309085279088</t>
  </si>
  <si>
    <t>1078480157</t>
  </si>
  <si>
    <t>86</t>
  </si>
  <si>
    <t>8909180028080</t>
  </si>
  <si>
    <t>0184141257</t>
  </si>
  <si>
    <t>863</t>
  </si>
  <si>
    <t>8204295029086</t>
  </si>
  <si>
    <t>0085621159</t>
  </si>
  <si>
    <t>864</t>
  </si>
  <si>
    <t>8401145030088</t>
  </si>
  <si>
    <t>0459098166</t>
  </si>
  <si>
    <t>865</t>
  </si>
  <si>
    <t>7912095349089</t>
  </si>
  <si>
    <t>1044282158</t>
  </si>
  <si>
    <t>866</t>
  </si>
  <si>
    <t>8310095540089</t>
  </si>
  <si>
    <t>1209105152</t>
  </si>
  <si>
    <t>87</t>
  </si>
  <si>
    <t>9512065309085</t>
  </si>
  <si>
    <t>88</t>
  </si>
  <si>
    <t>8508030390086</t>
  </si>
  <si>
    <t>0231009234</t>
  </si>
  <si>
    <t>90</t>
  </si>
  <si>
    <t>9611140454088</t>
  </si>
  <si>
    <t>2814059172</t>
  </si>
  <si>
    <t>901</t>
  </si>
  <si>
    <t>M01461</t>
  </si>
  <si>
    <t>8010315207085</t>
  </si>
  <si>
    <t>0145408142</t>
  </si>
  <si>
    <t>91</t>
  </si>
  <si>
    <t>9502080188085</t>
  </si>
  <si>
    <t>2191344171</t>
  </si>
  <si>
    <t>92</t>
  </si>
  <si>
    <t>8610045118088</t>
  </si>
  <si>
    <t>3770572141</t>
  </si>
  <si>
    <t>93</t>
  </si>
  <si>
    <t>9208310224084</t>
  </si>
  <si>
    <t>1272486174</t>
  </si>
  <si>
    <t>94</t>
  </si>
  <si>
    <t>9505240164086</t>
  </si>
  <si>
    <t>95</t>
  </si>
  <si>
    <t>4505295026086</t>
  </si>
  <si>
    <t>2122084649</t>
  </si>
  <si>
    <t>956</t>
  </si>
  <si>
    <t>9004030056082</t>
  </si>
  <si>
    <t>1639928140</t>
  </si>
  <si>
    <t>957</t>
  </si>
  <si>
    <t>9308055807083</t>
  </si>
  <si>
    <t>1510441189</t>
  </si>
  <si>
    <t>958</t>
  </si>
  <si>
    <t>8911090471087</t>
  </si>
  <si>
    <t>1335067185</t>
  </si>
  <si>
    <t>959</t>
  </si>
  <si>
    <t>8512305279081</t>
  </si>
  <si>
    <t>1030427155</t>
  </si>
  <si>
    <t>96</t>
  </si>
  <si>
    <t>M00997</t>
  </si>
  <si>
    <t>Demi</t>
  </si>
  <si>
    <t>Chotia</t>
  </si>
  <si>
    <t>9302110102085</t>
  </si>
  <si>
    <t>2773767153</t>
  </si>
  <si>
    <t>960</t>
  </si>
  <si>
    <t>6710150169082</t>
  </si>
  <si>
    <t>2790042036</t>
  </si>
  <si>
    <t>961</t>
  </si>
  <si>
    <t>8804230042084</t>
  </si>
  <si>
    <t>2201780141</t>
  </si>
  <si>
    <t>962</t>
  </si>
  <si>
    <t>7511065052085</t>
  </si>
  <si>
    <t>1887087144</t>
  </si>
  <si>
    <t>M00573 - Mr JH Nel</t>
  </si>
  <si>
    <t>964</t>
  </si>
  <si>
    <t>9502230423085</t>
  </si>
  <si>
    <t>3671397168</t>
  </si>
  <si>
    <t>97</t>
  </si>
  <si>
    <t>7212030402089</t>
  </si>
  <si>
    <t>98</t>
  </si>
  <si>
    <t>8205205857086</t>
  </si>
  <si>
    <t>3637737150</t>
  </si>
  <si>
    <t>993</t>
  </si>
  <si>
    <t>7202190073085</t>
  </si>
  <si>
    <t>2588112843</t>
  </si>
  <si>
    <t>INDC - Independent Contractor</t>
  </si>
  <si>
    <t>997</t>
  </si>
  <si>
    <t>7807305585086</t>
  </si>
  <si>
    <t>2911321145</t>
  </si>
  <si>
    <t>998</t>
  </si>
  <si>
    <t>8111015576082</t>
  </si>
  <si>
    <t>999</t>
  </si>
  <si>
    <t>8304025380088</t>
  </si>
  <si>
    <t>0039515234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</si>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</sst>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dd/mm/yyyy\ hh:mm\ AM/PM;@"/>
  </numFmts>
  <fonts count="6" x14ac:knownFonts="1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9" xfId="0" applyBorder="1"/>
    <xf numFmtId="165" fontId="0" fillId="0" borderId="9" xfId="0" applyNumberFormat="1" applyFont="1" applyBorder="1" applyAlignment="1"/>
    <xf numFmtId="2" fontId="0" fillId="0" borderId="9" xfId="0" applyNumberFormat="1" applyBorder="1"/>
    <xf numFmtId="0" fontId="0" fillId="0" borderId="10" xfId="0" applyBorder="1"/>
    <xf numFmtId="14" fontId="0" fillId="0" borderId="0" xfId="0" applyNumberFormat="1"/>
    <xf numFmtId="0" fontId="4" fillId="0" borderId="0" xfId="0" applyFont="1"/>
    <xf numFmtId="0" fontId="4" fillId="0" borderId="9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4" fillId="3" borderId="2" xfId="0" applyFont="1" applyFill="1" applyBorder="1"/>
    <xf numFmtId="0" fontId="4" fillId="3" borderId="1" xfId="0" applyFont="1" applyFill="1" applyBorder="1"/>
    <xf numFmtId="0" fontId="5" fillId="0" borderId="1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0</xdr:row>
      <xdr:rowOff>152400</xdr:rowOff>
    </xdr:from>
    <xdr:ext cx="1514475" cy="647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52400"/>
          <a:ext cx="1514475" cy="647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15"/>
  <sheetViews>
    <sheetView topLeftCell="A1363" workbookViewId="0">
      <selection activeCell="A1411" sqref="A1411:AC1411"/>
    </sheetView>
  </sheetViews>
  <sheetFormatPr defaultRowHeight="15" outlineLevelRow="1" x14ac:dyDescent="0.25"/>
  <cols>
    <col min="1" max="1" width="11.28515625" bestFit="1" customWidth="1"/>
    <col min="2" max="2" width="15" bestFit="1" customWidth="1"/>
    <col min="3" max="3" width="34" bestFit="1" customWidth="1"/>
    <col min="4" max="4" width="19.42578125" bestFit="1" customWidth="1"/>
    <col min="5" max="5" width="11" bestFit="1" customWidth="1"/>
    <col min="6" max="6" width="14.7109375" bestFit="1" customWidth="1"/>
    <col min="7" max="7" width="5.5703125" bestFit="1" customWidth="1"/>
    <col min="8" max="8" width="7.140625" bestFit="1" customWidth="1"/>
    <col min="9" max="9" width="15.42578125" bestFit="1" customWidth="1"/>
    <col min="10" max="10" width="18.7109375" bestFit="1" customWidth="1"/>
    <col min="11" max="11" width="19.42578125" bestFit="1" customWidth="1"/>
    <col min="12" max="12" width="14.140625" bestFit="1" customWidth="1"/>
    <col min="13" max="13" width="16.28515625" bestFit="1" customWidth="1"/>
    <col min="14" max="15" width="19.42578125" bestFit="1" customWidth="1"/>
    <col min="16" max="16" width="18.7109375" bestFit="1" customWidth="1"/>
    <col min="17" max="17" width="11.7109375" bestFit="1" customWidth="1"/>
    <col min="18" max="18" width="27.140625" bestFit="1" customWidth="1"/>
    <col min="19" max="19" width="28.42578125" bestFit="1" customWidth="1"/>
    <col min="20" max="20" width="32.140625" bestFit="1" customWidth="1"/>
    <col min="21" max="21" width="37.85546875" bestFit="1" customWidth="1"/>
    <col min="22" max="22" width="40.42578125" bestFit="1" customWidth="1"/>
    <col min="23" max="23" width="30.42578125" bestFit="1" customWidth="1"/>
    <col min="24" max="24" width="15.7109375" bestFit="1" customWidth="1"/>
    <col min="25" max="25" width="28" bestFit="1" customWidth="1"/>
    <col min="26" max="26" width="12.7109375" bestFit="1" customWidth="1"/>
    <col min="27" max="27" width="13.140625" bestFit="1" customWidth="1"/>
    <col min="28" max="28" width="24.42578125" bestFit="1" customWidth="1"/>
    <col min="29" max="29" width="28.42578125" bestFit="1" customWidth="1"/>
  </cols>
  <sheetData>
    <row r="1" spans="1:29" ht="15" customHeight="1" x14ac:dyDescent="0.25">
      <c r="A1" s="23"/>
      <c r="B1" s="24"/>
      <c r="C1" s="24"/>
      <c r="D1" s="25" t="s">
        <v>2200</v>
      </c>
      <c r="E1" s="25"/>
      <c r="F1" s="25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9" ht="15" customHeight="1" x14ac:dyDescent="0.25">
      <c r="A2" s="24"/>
      <c r="B2" s="24"/>
      <c r="C2" s="24"/>
      <c r="D2" s="25"/>
      <c r="E2" s="25"/>
      <c r="F2" s="25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9" ht="15" customHeight="1" x14ac:dyDescent="0.25">
      <c r="A3" s="24"/>
      <c r="B3" s="24"/>
      <c r="C3" s="24"/>
      <c r="D3" s="25"/>
      <c r="E3" s="25"/>
      <c r="F3" s="25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9" ht="15" customHeight="1" x14ac:dyDescent="0.25">
      <c r="A4" s="24"/>
      <c r="B4" s="24"/>
      <c r="C4" s="24"/>
      <c r="D4" s="25"/>
      <c r="E4" s="25"/>
      <c r="F4" s="25"/>
      <c r="G4" s="25"/>
      <c r="H4" s="24"/>
      <c r="I4" s="24"/>
      <c r="J4" s="24"/>
      <c r="K4" s="24"/>
      <c r="L4" s="24"/>
      <c r="M4" s="24"/>
      <c r="N4" s="24"/>
      <c r="O4" s="24"/>
      <c r="P4" s="24"/>
    </row>
    <row r="5" spans="1:29" ht="15.75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29" ht="15" customHeight="1" thickBot="1" x14ac:dyDescent="0.3">
      <c r="A6" s="1" t="s">
        <v>1</v>
      </c>
      <c r="B6" s="2" t="s">
        <v>0</v>
      </c>
      <c r="C6" s="2" t="s">
        <v>2201</v>
      </c>
      <c r="D6" s="2" t="s">
        <v>2202</v>
      </c>
      <c r="E6" s="2" t="s">
        <v>2203</v>
      </c>
      <c r="F6" s="2" t="s">
        <v>2204</v>
      </c>
      <c r="G6" s="2" t="s">
        <v>2205</v>
      </c>
      <c r="H6" s="2" t="s">
        <v>777</v>
      </c>
      <c r="I6" s="2" t="s">
        <v>779</v>
      </c>
      <c r="J6" s="2" t="s">
        <v>776</v>
      </c>
      <c r="K6" s="2" t="s">
        <v>2206</v>
      </c>
      <c r="L6" s="2" t="s">
        <v>778</v>
      </c>
      <c r="M6" s="2" t="s">
        <v>2207</v>
      </c>
      <c r="N6" s="2" t="s">
        <v>2</v>
      </c>
      <c r="O6" s="2" t="s">
        <v>5</v>
      </c>
      <c r="P6" s="2" t="s">
        <v>6</v>
      </c>
      <c r="Q6" s="2" t="s">
        <v>2208</v>
      </c>
      <c r="R6" s="2" t="s">
        <v>2209</v>
      </c>
      <c r="S6" s="2" t="s">
        <v>2210</v>
      </c>
      <c r="T6" s="2" t="s">
        <v>2211</v>
      </c>
      <c r="U6" s="2" t="s">
        <v>4</v>
      </c>
      <c r="V6" s="2" t="s">
        <v>3</v>
      </c>
      <c r="W6" s="2" t="s">
        <v>2212</v>
      </c>
      <c r="X6" s="2" t="s">
        <v>2213</v>
      </c>
      <c r="Y6" s="2" t="s">
        <v>2214</v>
      </c>
      <c r="Z6" s="2" t="s">
        <v>2215</v>
      </c>
      <c r="AA6" s="2" t="s">
        <v>2216</v>
      </c>
      <c r="AB6" s="2" t="s">
        <v>2217</v>
      </c>
      <c r="AC6" s="3" t="s">
        <v>2218</v>
      </c>
    </row>
    <row r="7" spans="1:29" ht="15" customHeight="1" thickBot="1" x14ac:dyDescent="0.3">
      <c r="A7" s="20" t="str">
        <f>CONCATENATE("100"," - ","MR", " ","Ronald"," ", "Cloete")</f>
        <v>100 - MR Ronald Cloete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</row>
    <row r="8" spans="1:29" ht="15" hidden="1" customHeight="1" outlineLevel="1" thickBot="1" x14ac:dyDescent="0.3">
      <c r="A8" s="4" t="s">
        <v>2219</v>
      </c>
      <c r="B8" s="4" t="s">
        <v>110</v>
      </c>
      <c r="C8" s="4" t="s">
        <v>2220</v>
      </c>
      <c r="D8" s="5">
        <v>42962.461805555555</v>
      </c>
      <c r="E8" s="4" t="s">
        <v>2221</v>
      </c>
      <c r="F8" s="4" t="s">
        <v>2222</v>
      </c>
      <c r="G8" s="4" t="s">
        <v>2014</v>
      </c>
      <c r="H8" s="4" t="s">
        <v>844</v>
      </c>
      <c r="I8" s="4" t="s">
        <v>984</v>
      </c>
      <c r="J8" s="4" t="s">
        <v>983</v>
      </c>
      <c r="K8" s="5">
        <v>27670</v>
      </c>
      <c r="L8" s="4" t="s">
        <v>2223</v>
      </c>
      <c r="M8" s="4" t="s">
        <v>9</v>
      </c>
      <c r="N8" s="5">
        <v>39027</v>
      </c>
      <c r="O8" s="5" t="s">
        <v>2224</v>
      </c>
      <c r="P8" s="4" t="s">
        <v>2224</v>
      </c>
      <c r="Q8" s="4" t="s">
        <v>2225</v>
      </c>
      <c r="R8" s="4" t="s">
        <v>2226</v>
      </c>
      <c r="S8" s="4" t="s">
        <v>2227</v>
      </c>
      <c r="T8" s="4" t="s">
        <v>2228</v>
      </c>
      <c r="U8" s="4" t="s">
        <v>2229</v>
      </c>
      <c r="V8" s="4" t="s">
        <v>17</v>
      </c>
      <c r="W8" s="4" t="s">
        <v>2230</v>
      </c>
      <c r="X8" s="4" t="s">
        <v>2224</v>
      </c>
      <c r="Y8" s="4" t="s">
        <v>2231</v>
      </c>
      <c r="Z8" s="6">
        <v>21430.874299999999</v>
      </c>
      <c r="AA8" s="6">
        <v>257170.49</v>
      </c>
      <c r="AB8" s="4" t="s">
        <v>2232</v>
      </c>
      <c r="AC8" s="7" t="s">
        <v>2224</v>
      </c>
    </row>
    <row r="9" spans="1:29" ht="15" customHeight="1" collapsed="1" thickBot="1" x14ac:dyDescent="0.3">
      <c r="A9" s="20" t="str">
        <f>CONCATENATE("101"," - ","MISS", " ","Jenny"," ", "Coetzee")</f>
        <v>101 - MISS Jenny Coetzee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</row>
    <row r="10" spans="1:29" ht="15" hidden="1" customHeight="1" outlineLevel="1" thickBot="1" x14ac:dyDescent="0.3">
      <c r="A10" s="4" t="s">
        <v>2233</v>
      </c>
      <c r="B10" s="4" t="s">
        <v>342</v>
      </c>
      <c r="C10" s="4" t="s">
        <v>2220</v>
      </c>
      <c r="D10" s="5">
        <v>42962.536805555552</v>
      </c>
      <c r="E10" s="4" t="s">
        <v>2221</v>
      </c>
      <c r="F10" s="4" t="s">
        <v>2222</v>
      </c>
      <c r="G10" s="4" t="s">
        <v>2234</v>
      </c>
      <c r="H10" s="4" t="s">
        <v>888</v>
      </c>
      <c r="I10" s="4" t="s">
        <v>1423</v>
      </c>
      <c r="J10" s="4" t="s">
        <v>1403</v>
      </c>
      <c r="K10" s="5">
        <v>34004</v>
      </c>
      <c r="L10" s="4" t="s">
        <v>2235</v>
      </c>
      <c r="M10" s="4" t="s">
        <v>9</v>
      </c>
      <c r="N10" s="5">
        <v>41292</v>
      </c>
      <c r="O10" s="5" t="s">
        <v>2224</v>
      </c>
      <c r="P10" s="4" t="s">
        <v>2224</v>
      </c>
      <c r="Q10" s="4" t="s">
        <v>2236</v>
      </c>
      <c r="R10" s="4" t="s">
        <v>2226</v>
      </c>
      <c r="S10" s="4" t="s">
        <v>2227</v>
      </c>
      <c r="T10" s="4" t="s">
        <v>2228</v>
      </c>
      <c r="U10" s="4" t="s">
        <v>2237</v>
      </c>
      <c r="V10" s="4" t="s">
        <v>8</v>
      </c>
      <c r="W10" s="4" t="s">
        <v>2238</v>
      </c>
      <c r="X10" s="4" t="s">
        <v>2224</v>
      </c>
      <c r="Y10" s="4" t="s">
        <v>2239</v>
      </c>
      <c r="Z10" s="6">
        <v>16692.34</v>
      </c>
      <c r="AA10" s="6">
        <v>200308.08</v>
      </c>
      <c r="AB10" s="4" t="s">
        <v>2232</v>
      </c>
      <c r="AC10" s="7" t="s">
        <v>2224</v>
      </c>
    </row>
    <row r="11" spans="1:29" ht="15" customHeight="1" collapsed="1" thickBot="1" x14ac:dyDescent="0.3">
      <c r="A11" s="20" t="str">
        <f>CONCATENATE("1014"," - ","DR", " ","John"," ", "Tambi")</f>
        <v>1014 - DR John Tambi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</row>
    <row r="12" spans="1:29" ht="15" hidden="1" customHeight="1" outlineLevel="1" thickBot="1" x14ac:dyDescent="0.3">
      <c r="A12" s="4" t="s">
        <v>2240</v>
      </c>
      <c r="B12" s="4" t="s">
        <v>2142</v>
      </c>
      <c r="C12" s="4" t="s">
        <v>2220</v>
      </c>
      <c r="D12" s="5">
        <v>42955.426388888889</v>
      </c>
      <c r="E12" s="4" t="s">
        <v>2221</v>
      </c>
      <c r="F12" s="4" t="s">
        <v>2222</v>
      </c>
      <c r="G12" s="4" t="s">
        <v>2241</v>
      </c>
      <c r="H12" s="4" t="s">
        <v>2144</v>
      </c>
      <c r="I12" s="4" t="s">
        <v>785</v>
      </c>
      <c r="J12" s="4" t="s">
        <v>2143</v>
      </c>
      <c r="K12" s="5">
        <v>20057</v>
      </c>
      <c r="L12" s="4" t="s">
        <v>2224</v>
      </c>
      <c r="M12" s="4" t="s">
        <v>9</v>
      </c>
      <c r="N12" s="5">
        <v>42587</v>
      </c>
      <c r="O12" s="5">
        <v>42947</v>
      </c>
      <c r="P12" s="4" t="s">
        <v>2242</v>
      </c>
      <c r="Q12" s="4" t="s">
        <v>2224</v>
      </c>
      <c r="R12" s="4" t="s">
        <v>2224</v>
      </c>
      <c r="S12" s="4" t="s">
        <v>2227</v>
      </c>
      <c r="T12" s="4" t="s">
        <v>2228</v>
      </c>
      <c r="U12" s="4" t="s">
        <v>2243</v>
      </c>
      <c r="V12" s="4" t="s">
        <v>2136</v>
      </c>
      <c r="W12" s="4" t="s">
        <v>2224</v>
      </c>
      <c r="X12" s="4" t="s">
        <v>2224</v>
      </c>
      <c r="Y12" s="4" t="s">
        <v>2224</v>
      </c>
      <c r="Z12" s="6">
        <v>0</v>
      </c>
      <c r="AA12" s="6">
        <v>0</v>
      </c>
      <c r="AB12" s="4" t="s">
        <v>2224</v>
      </c>
      <c r="AC12" s="7" t="s">
        <v>2244</v>
      </c>
    </row>
    <row r="13" spans="1:29" ht="15" customHeight="1" collapsed="1" thickBot="1" x14ac:dyDescent="0.3">
      <c r="A13" s="20" t="str">
        <f>CONCATENATE("102"," - ","MISS", " ","Linzelle"," ", "Coetzee")</f>
        <v>102 - MISS Linzelle Coetzee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/>
    </row>
    <row r="14" spans="1:29" ht="15" hidden="1" customHeight="1" outlineLevel="1" thickBot="1" x14ac:dyDescent="0.3">
      <c r="A14" s="4" t="s">
        <v>2245</v>
      </c>
      <c r="B14" s="4" t="s">
        <v>331</v>
      </c>
      <c r="C14" s="4" t="s">
        <v>2220</v>
      </c>
      <c r="D14" s="5">
        <v>42962.463194444441</v>
      </c>
      <c r="E14" s="4" t="s">
        <v>2221</v>
      </c>
      <c r="F14" s="4" t="s">
        <v>2222</v>
      </c>
      <c r="G14" s="4" t="s">
        <v>2234</v>
      </c>
      <c r="H14" s="4" t="s">
        <v>826</v>
      </c>
      <c r="I14" s="4" t="s">
        <v>1404</v>
      </c>
      <c r="J14" s="4" t="s">
        <v>1403</v>
      </c>
      <c r="K14" s="5">
        <v>33334</v>
      </c>
      <c r="L14" s="4" t="s">
        <v>2246</v>
      </c>
      <c r="M14" s="4" t="s">
        <v>9</v>
      </c>
      <c r="N14" s="5">
        <v>41226</v>
      </c>
      <c r="O14" s="5" t="s">
        <v>2224</v>
      </c>
      <c r="P14" s="4" t="s">
        <v>2224</v>
      </c>
      <c r="Q14" s="4" t="s">
        <v>2247</v>
      </c>
      <c r="R14" s="4" t="s">
        <v>2226</v>
      </c>
      <c r="S14" s="4" t="s">
        <v>2227</v>
      </c>
      <c r="T14" s="4" t="s">
        <v>2228</v>
      </c>
      <c r="U14" s="4" t="s">
        <v>2248</v>
      </c>
      <c r="V14" s="4" t="s">
        <v>122</v>
      </c>
      <c r="W14" s="4" t="s">
        <v>2249</v>
      </c>
      <c r="X14" s="4" t="s">
        <v>2224</v>
      </c>
      <c r="Y14" s="4" t="s">
        <v>2250</v>
      </c>
      <c r="Z14" s="6">
        <v>19058.400000000001</v>
      </c>
      <c r="AA14" s="6">
        <v>228700.79999999999</v>
      </c>
      <c r="AB14" s="4" t="s">
        <v>2232</v>
      </c>
      <c r="AC14" s="7" t="s">
        <v>2224</v>
      </c>
    </row>
    <row r="15" spans="1:29" ht="15" customHeight="1" collapsed="1" thickBot="1" x14ac:dyDescent="0.3">
      <c r="A15" s="20" t="str">
        <f>CONCATENATE("103"," - ","MR", " ","Pieter"," ", "Coetzer")</f>
        <v>103 - MR Pieter Coetzer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2"/>
    </row>
    <row r="16" spans="1:29" ht="15" hidden="1" customHeight="1" outlineLevel="1" thickBot="1" x14ac:dyDescent="0.3">
      <c r="A16" s="4" t="s">
        <v>2251</v>
      </c>
      <c r="B16" s="4" t="s">
        <v>571</v>
      </c>
      <c r="C16" s="4" t="s">
        <v>2220</v>
      </c>
      <c r="D16" s="5">
        <v>42962.462500000001</v>
      </c>
      <c r="E16" s="4" t="s">
        <v>2221</v>
      </c>
      <c r="F16" s="4" t="s">
        <v>2222</v>
      </c>
      <c r="G16" s="4" t="s">
        <v>2014</v>
      </c>
      <c r="H16" s="4" t="s">
        <v>1863</v>
      </c>
      <c r="I16" s="4" t="s">
        <v>978</v>
      </c>
      <c r="J16" s="4" t="s">
        <v>1862</v>
      </c>
      <c r="K16" s="5">
        <v>22814</v>
      </c>
      <c r="L16" s="4" t="s">
        <v>2252</v>
      </c>
      <c r="M16" s="4" t="s">
        <v>9</v>
      </c>
      <c r="N16" s="5">
        <v>42125</v>
      </c>
      <c r="O16" s="5" t="s">
        <v>2224</v>
      </c>
      <c r="P16" s="4" t="s">
        <v>2224</v>
      </c>
      <c r="Q16" s="4" t="s">
        <v>2253</v>
      </c>
      <c r="R16" s="4" t="s">
        <v>2226</v>
      </c>
      <c r="S16" s="4" t="s">
        <v>2227</v>
      </c>
      <c r="T16" s="4" t="s">
        <v>2228</v>
      </c>
      <c r="U16" s="4" t="s">
        <v>2248</v>
      </c>
      <c r="V16" s="4" t="s">
        <v>467</v>
      </c>
      <c r="W16" s="4" t="s">
        <v>2249</v>
      </c>
      <c r="X16" s="4" t="s">
        <v>2224</v>
      </c>
      <c r="Y16" s="4" t="s">
        <v>2254</v>
      </c>
      <c r="Z16" s="6">
        <v>80934.672000000006</v>
      </c>
      <c r="AA16" s="6">
        <v>971216.06</v>
      </c>
      <c r="AB16" s="4" t="s">
        <v>2232</v>
      </c>
      <c r="AC16" s="7" t="s">
        <v>2224</v>
      </c>
    </row>
    <row r="17" spans="1:29" ht="15" customHeight="1" collapsed="1" thickBot="1" x14ac:dyDescent="0.3">
      <c r="A17" s="20" t="str">
        <f>CONCATENATE("104"," - ","MR", " ","Hercules"," ", "Comeroden")</f>
        <v>104 - MR Hercules Comeroden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</row>
    <row r="18" spans="1:29" ht="15" hidden="1" customHeight="1" outlineLevel="1" thickBot="1" x14ac:dyDescent="0.3">
      <c r="A18" s="4" t="s">
        <v>2255</v>
      </c>
      <c r="B18" s="4" t="s">
        <v>442</v>
      </c>
      <c r="C18" s="4" t="s">
        <v>2220</v>
      </c>
      <c r="D18" s="5">
        <v>42963.287499999999</v>
      </c>
      <c r="E18" s="4" t="s">
        <v>2221</v>
      </c>
      <c r="F18" s="4" t="s">
        <v>2222</v>
      </c>
      <c r="G18" s="4" t="s">
        <v>2014</v>
      </c>
      <c r="H18" s="4" t="s">
        <v>1617</v>
      </c>
      <c r="I18" s="4" t="s">
        <v>1618</v>
      </c>
      <c r="J18" s="4" t="s">
        <v>1616</v>
      </c>
      <c r="K18" s="5">
        <v>24345</v>
      </c>
      <c r="L18" s="4" t="s">
        <v>2256</v>
      </c>
      <c r="M18" s="4" t="s">
        <v>9</v>
      </c>
      <c r="N18" s="5">
        <v>41659</v>
      </c>
      <c r="O18" s="5" t="s">
        <v>2224</v>
      </c>
      <c r="P18" s="4" t="s">
        <v>2224</v>
      </c>
      <c r="Q18" s="4" t="s">
        <v>2257</v>
      </c>
      <c r="R18" s="4" t="s">
        <v>2226</v>
      </c>
      <c r="S18" s="4" t="s">
        <v>2227</v>
      </c>
      <c r="T18" s="4" t="s">
        <v>2228</v>
      </c>
      <c r="U18" s="4" t="s">
        <v>2258</v>
      </c>
      <c r="V18" s="4" t="s">
        <v>246</v>
      </c>
      <c r="W18" s="4" t="s">
        <v>2249</v>
      </c>
      <c r="X18" s="4" t="s">
        <v>2224</v>
      </c>
      <c r="Y18" s="4" t="s">
        <v>2259</v>
      </c>
      <c r="Z18" s="6">
        <v>70799.691600000006</v>
      </c>
      <c r="AA18" s="6">
        <v>849596.3</v>
      </c>
      <c r="AB18" s="4" t="s">
        <v>2232</v>
      </c>
      <c r="AC18" s="7" t="s">
        <v>2224</v>
      </c>
    </row>
    <row r="19" spans="1:29" ht="15" customHeight="1" collapsed="1" thickBot="1" x14ac:dyDescent="0.3">
      <c r="A19" s="20" t="str">
        <f>CONCATENATE("1047"," - ","MR", " ","Schalk "," ", "Visagie")</f>
        <v>1047 - MR Schalk  Visagie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</row>
    <row r="20" spans="1:29" ht="15" hidden="1" customHeight="1" outlineLevel="1" thickBot="1" x14ac:dyDescent="0.3">
      <c r="A20" s="4" t="s">
        <v>2260</v>
      </c>
      <c r="B20" s="4" t="s">
        <v>748</v>
      </c>
      <c r="C20" s="4" t="s">
        <v>2220</v>
      </c>
      <c r="D20" s="5">
        <v>42963.291666666664</v>
      </c>
      <c r="E20" s="4" t="s">
        <v>2221</v>
      </c>
      <c r="F20" s="4" t="s">
        <v>2222</v>
      </c>
      <c r="G20" s="4" t="s">
        <v>2014</v>
      </c>
      <c r="H20" s="4" t="s">
        <v>2060</v>
      </c>
      <c r="I20" s="4" t="s">
        <v>2150</v>
      </c>
      <c r="J20" s="4" t="s">
        <v>2149</v>
      </c>
      <c r="K20" s="5">
        <v>32464</v>
      </c>
      <c r="L20" s="4" t="s">
        <v>2261</v>
      </c>
      <c r="M20" s="4" t="s">
        <v>9</v>
      </c>
      <c r="N20" s="5">
        <v>42767</v>
      </c>
      <c r="O20" s="5" t="s">
        <v>2224</v>
      </c>
      <c r="P20" s="4" t="s">
        <v>2224</v>
      </c>
      <c r="Q20" s="4" t="s">
        <v>2262</v>
      </c>
      <c r="R20" s="4" t="s">
        <v>2226</v>
      </c>
      <c r="S20" s="4" t="s">
        <v>2227</v>
      </c>
      <c r="T20" s="4" t="s">
        <v>2228</v>
      </c>
      <c r="U20" s="4" t="s">
        <v>2258</v>
      </c>
      <c r="V20" s="4" t="s">
        <v>246</v>
      </c>
      <c r="W20" s="4" t="s">
        <v>2249</v>
      </c>
      <c r="X20" s="4" t="s">
        <v>2224</v>
      </c>
      <c r="Y20" s="4" t="s">
        <v>2259</v>
      </c>
      <c r="Z20" s="6">
        <v>66716.135999999999</v>
      </c>
      <c r="AA20" s="6">
        <v>800593.63</v>
      </c>
      <c r="AB20" s="4" t="s">
        <v>2232</v>
      </c>
      <c r="AC20" s="7" t="s">
        <v>2244</v>
      </c>
    </row>
    <row r="21" spans="1:29" ht="15" customHeight="1" collapsed="1" thickBot="1" x14ac:dyDescent="0.3">
      <c r="A21" s="20" t="str">
        <f>CONCATENATE("1048"," - ","MR", " ","Wesley"," ", "Young")</f>
        <v>1048 - MR Wesley Young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/>
    </row>
    <row r="22" spans="1:29" ht="15" hidden="1" customHeight="1" outlineLevel="1" thickBot="1" x14ac:dyDescent="0.3">
      <c r="A22" s="4" t="s">
        <v>2263</v>
      </c>
      <c r="B22" s="4" t="s">
        <v>746</v>
      </c>
      <c r="C22" s="4" t="s">
        <v>2220</v>
      </c>
      <c r="D22" s="5">
        <v>42963.290972222218</v>
      </c>
      <c r="E22" s="4" t="s">
        <v>2221</v>
      </c>
      <c r="F22" s="4" t="s">
        <v>2222</v>
      </c>
      <c r="G22" s="4" t="s">
        <v>2014</v>
      </c>
      <c r="H22" s="4" t="s">
        <v>1027</v>
      </c>
      <c r="I22" s="4" t="s">
        <v>1755</v>
      </c>
      <c r="J22" s="4" t="s">
        <v>2145</v>
      </c>
      <c r="K22" s="5">
        <v>29696</v>
      </c>
      <c r="L22" s="4" t="s">
        <v>2264</v>
      </c>
      <c r="M22" s="4" t="s">
        <v>9</v>
      </c>
      <c r="N22" s="5">
        <v>42767</v>
      </c>
      <c r="O22" s="5" t="s">
        <v>2224</v>
      </c>
      <c r="P22" s="4" t="s">
        <v>2224</v>
      </c>
      <c r="Q22" s="4" t="s">
        <v>2265</v>
      </c>
      <c r="R22" s="4" t="s">
        <v>2226</v>
      </c>
      <c r="S22" s="4" t="s">
        <v>2227</v>
      </c>
      <c r="T22" s="4" t="s">
        <v>2228</v>
      </c>
      <c r="U22" s="4" t="s">
        <v>2258</v>
      </c>
      <c r="V22" s="4" t="s">
        <v>246</v>
      </c>
      <c r="W22" s="4" t="s">
        <v>2249</v>
      </c>
      <c r="X22" s="4" t="s">
        <v>2224</v>
      </c>
      <c r="Y22" s="4" t="s">
        <v>2259</v>
      </c>
      <c r="Z22" s="6">
        <v>66716.135999999999</v>
      </c>
      <c r="AA22" s="6">
        <v>800593.63</v>
      </c>
      <c r="AB22" s="4" t="s">
        <v>2232</v>
      </c>
      <c r="AC22" s="7" t="s">
        <v>2244</v>
      </c>
    </row>
    <row r="23" spans="1:29" ht="15" customHeight="1" collapsed="1" thickBot="1" x14ac:dyDescent="0.3">
      <c r="A23" s="20" t="str">
        <f>CONCATENATE("1049"," - ","MR", " ","Sakha"," ", "Maholwana")</f>
        <v>1049 - MR Sakha Maholwana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</row>
    <row r="24" spans="1:29" ht="15" hidden="1" customHeight="1" outlineLevel="1" thickBot="1" x14ac:dyDescent="0.3">
      <c r="A24" s="4" t="s">
        <v>2266</v>
      </c>
      <c r="B24" s="4" t="s">
        <v>749</v>
      </c>
      <c r="C24" s="4" t="s">
        <v>2220</v>
      </c>
      <c r="D24" s="5">
        <v>42963.291666666664</v>
      </c>
      <c r="E24" s="4" t="s">
        <v>2221</v>
      </c>
      <c r="F24" s="4" t="s">
        <v>2222</v>
      </c>
      <c r="G24" s="4" t="s">
        <v>2014</v>
      </c>
      <c r="H24" s="4" t="s">
        <v>2153</v>
      </c>
      <c r="I24" s="4" t="s">
        <v>2152</v>
      </c>
      <c r="J24" s="4" t="s">
        <v>2151</v>
      </c>
      <c r="K24" s="5">
        <v>28276</v>
      </c>
      <c r="L24" s="4" t="s">
        <v>2267</v>
      </c>
      <c r="M24" s="4" t="s">
        <v>9</v>
      </c>
      <c r="N24" s="5">
        <v>42767</v>
      </c>
      <c r="O24" s="5" t="s">
        <v>2224</v>
      </c>
      <c r="P24" s="4" t="s">
        <v>2224</v>
      </c>
      <c r="Q24" s="4" t="s">
        <v>2268</v>
      </c>
      <c r="R24" s="4" t="s">
        <v>2226</v>
      </c>
      <c r="S24" s="4" t="s">
        <v>2227</v>
      </c>
      <c r="T24" s="4" t="s">
        <v>2228</v>
      </c>
      <c r="U24" s="4" t="s">
        <v>2258</v>
      </c>
      <c r="V24" s="4" t="s">
        <v>257</v>
      </c>
      <c r="W24" s="4" t="s">
        <v>2249</v>
      </c>
      <c r="X24" s="4" t="s">
        <v>2224</v>
      </c>
      <c r="Y24" s="4" t="s">
        <v>2259</v>
      </c>
      <c r="Z24" s="6">
        <v>60044.522400000002</v>
      </c>
      <c r="AA24" s="6">
        <v>720534.27</v>
      </c>
      <c r="AB24" s="4" t="s">
        <v>2232</v>
      </c>
      <c r="AC24" s="7" t="s">
        <v>2244</v>
      </c>
    </row>
    <row r="25" spans="1:29" ht="15" customHeight="1" collapsed="1" thickBot="1" x14ac:dyDescent="0.3">
      <c r="A25" s="20" t="str">
        <f>CONCATENATE("105"," - ","MR", " ","Andrew"," ", "Cook")</f>
        <v>105 - MR Andrew Cook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/>
    </row>
    <row r="26" spans="1:29" ht="15" hidden="1" customHeight="1" outlineLevel="1" thickBot="1" x14ac:dyDescent="0.3">
      <c r="A26" s="4" t="s">
        <v>2269</v>
      </c>
      <c r="B26" s="4" t="s">
        <v>607</v>
      </c>
      <c r="C26" s="4" t="s">
        <v>2220</v>
      </c>
      <c r="D26" s="5">
        <v>42957.396527777775</v>
      </c>
      <c r="E26" s="4" t="s">
        <v>2221</v>
      </c>
      <c r="F26" s="4" t="s">
        <v>2222</v>
      </c>
      <c r="G26" s="4" t="s">
        <v>2014</v>
      </c>
      <c r="H26" s="4" t="s">
        <v>742</v>
      </c>
      <c r="I26" s="4" t="s">
        <v>1532</v>
      </c>
      <c r="J26" s="4" t="s">
        <v>1918</v>
      </c>
      <c r="K26" s="5">
        <v>25637</v>
      </c>
      <c r="L26" s="4" t="s">
        <v>2270</v>
      </c>
      <c r="M26" s="4" t="s">
        <v>9</v>
      </c>
      <c r="N26" s="5">
        <v>42219</v>
      </c>
      <c r="O26" s="5" t="s">
        <v>2224</v>
      </c>
      <c r="P26" s="4" t="s">
        <v>2224</v>
      </c>
      <c r="Q26" s="4" t="s">
        <v>2271</v>
      </c>
      <c r="R26" s="4" t="s">
        <v>2226</v>
      </c>
      <c r="S26" s="4" t="s">
        <v>2227</v>
      </c>
      <c r="T26" s="4" t="s">
        <v>2228</v>
      </c>
      <c r="U26" s="4" t="s">
        <v>2258</v>
      </c>
      <c r="V26" s="4" t="s">
        <v>246</v>
      </c>
      <c r="W26" s="4" t="s">
        <v>2249</v>
      </c>
      <c r="X26" s="4" t="s">
        <v>2224</v>
      </c>
      <c r="Y26" s="4" t="s">
        <v>2259</v>
      </c>
      <c r="Z26" s="6">
        <v>69411.47</v>
      </c>
      <c r="AA26" s="6">
        <v>832937.64</v>
      </c>
      <c r="AB26" s="4" t="s">
        <v>2232</v>
      </c>
      <c r="AC26" s="7" t="s">
        <v>2224</v>
      </c>
    </row>
    <row r="27" spans="1:29" ht="15" customHeight="1" collapsed="1" thickBot="1" x14ac:dyDescent="0.3">
      <c r="A27" s="20" t="str">
        <f>CONCATENATE("1050"," - ","MR", " ","Oloff"," ", "Els")</f>
        <v>1050 - MR Oloff Els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</row>
    <row r="28" spans="1:29" ht="15" hidden="1" customHeight="1" outlineLevel="1" thickBot="1" x14ac:dyDescent="0.3">
      <c r="A28" s="4" t="s">
        <v>2272</v>
      </c>
      <c r="B28" s="4" t="s">
        <v>747</v>
      </c>
      <c r="C28" s="4" t="s">
        <v>2220</v>
      </c>
      <c r="D28" s="5">
        <v>42963.291666666664</v>
      </c>
      <c r="E28" s="4" t="s">
        <v>2221</v>
      </c>
      <c r="F28" s="4" t="s">
        <v>2222</v>
      </c>
      <c r="G28" s="4" t="s">
        <v>2014</v>
      </c>
      <c r="H28" s="4" t="s">
        <v>2148</v>
      </c>
      <c r="I28" s="4" t="s">
        <v>2147</v>
      </c>
      <c r="J28" s="4" t="s">
        <v>2146</v>
      </c>
      <c r="K28" s="5">
        <v>28638</v>
      </c>
      <c r="L28" s="4" t="s">
        <v>2273</v>
      </c>
      <c r="M28" s="4" t="s">
        <v>9</v>
      </c>
      <c r="N28" s="5">
        <v>42767</v>
      </c>
      <c r="O28" s="5" t="s">
        <v>2224</v>
      </c>
      <c r="P28" s="4" t="s">
        <v>2224</v>
      </c>
      <c r="Q28" s="4" t="s">
        <v>2274</v>
      </c>
      <c r="R28" s="4" t="s">
        <v>2226</v>
      </c>
      <c r="S28" s="4" t="s">
        <v>2227</v>
      </c>
      <c r="T28" s="4" t="s">
        <v>2228</v>
      </c>
      <c r="U28" s="4" t="s">
        <v>2258</v>
      </c>
      <c r="V28" s="4" t="s">
        <v>246</v>
      </c>
      <c r="W28" s="4" t="s">
        <v>2249</v>
      </c>
      <c r="X28" s="4" t="s">
        <v>2224</v>
      </c>
      <c r="Y28" s="4" t="s">
        <v>2259</v>
      </c>
      <c r="Z28" s="6">
        <v>66716.135999999999</v>
      </c>
      <c r="AA28" s="6">
        <v>800593.63</v>
      </c>
      <c r="AB28" s="4" t="s">
        <v>2232</v>
      </c>
      <c r="AC28" s="7" t="s">
        <v>2244</v>
      </c>
    </row>
    <row r="29" spans="1:29" ht="15" customHeight="1" collapsed="1" thickBot="1" x14ac:dyDescent="0.3">
      <c r="A29" s="20" t="str">
        <f>CONCATENATE("106"," - ","MISS", " ","Nakita"," ", "Counsell")</f>
        <v>106 - MISS Nakita Counsell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2"/>
    </row>
    <row r="30" spans="1:29" ht="15" hidden="1" customHeight="1" outlineLevel="1" thickBot="1" x14ac:dyDescent="0.3">
      <c r="A30" s="4" t="s">
        <v>2275</v>
      </c>
      <c r="B30" s="4" t="s">
        <v>447</v>
      </c>
      <c r="C30" s="4" t="s">
        <v>2220</v>
      </c>
      <c r="D30" s="5">
        <v>42962.549999999996</v>
      </c>
      <c r="E30" s="4" t="s">
        <v>2221</v>
      </c>
      <c r="F30" s="4" t="s">
        <v>2222</v>
      </c>
      <c r="G30" s="4" t="s">
        <v>2234</v>
      </c>
      <c r="H30" s="4" t="s">
        <v>797</v>
      </c>
      <c r="I30" s="4" t="s">
        <v>1627</v>
      </c>
      <c r="J30" s="4" t="s">
        <v>1626</v>
      </c>
      <c r="K30" s="5">
        <v>34536</v>
      </c>
      <c r="L30" s="4" t="s">
        <v>2276</v>
      </c>
      <c r="M30" s="4" t="s">
        <v>9</v>
      </c>
      <c r="N30" s="5">
        <v>41666</v>
      </c>
      <c r="O30" s="5" t="s">
        <v>2224</v>
      </c>
      <c r="P30" s="4" t="s">
        <v>2224</v>
      </c>
      <c r="Q30" s="4" t="s">
        <v>2277</v>
      </c>
      <c r="R30" s="4" t="s">
        <v>2226</v>
      </c>
      <c r="S30" s="4" t="s">
        <v>2227</v>
      </c>
      <c r="T30" s="4" t="s">
        <v>2228</v>
      </c>
      <c r="U30" s="4" t="s">
        <v>2237</v>
      </c>
      <c r="V30" s="4" t="s">
        <v>125</v>
      </c>
      <c r="W30" s="4" t="s">
        <v>2278</v>
      </c>
      <c r="X30" s="4" t="s">
        <v>2224</v>
      </c>
      <c r="Y30" s="4" t="s">
        <v>2239</v>
      </c>
      <c r="Z30" s="6">
        <v>19891.599999999999</v>
      </c>
      <c r="AA30" s="6">
        <v>238699.2</v>
      </c>
      <c r="AB30" s="4" t="s">
        <v>2232</v>
      </c>
      <c r="AC30" s="7" t="s">
        <v>2224</v>
      </c>
    </row>
    <row r="31" spans="1:29" ht="15" customHeight="1" collapsed="1" thickBot="1" x14ac:dyDescent="0.3">
      <c r="A31" s="20" t="str">
        <f>CONCATENATE("107"," - ","MRS", " ","Monique"," ", "Cox")</f>
        <v>107 - MRS Monique Cox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2"/>
    </row>
    <row r="32" spans="1:29" ht="15" hidden="1" customHeight="1" outlineLevel="1" thickBot="1" x14ac:dyDescent="0.3">
      <c r="A32" s="4" t="s">
        <v>2279</v>
      </c>
      <c r="B32" s="4" t="s">
        <v>611</v>
      </c>
      <c r="C32" s="4" t="s">
        <v>2220</v>
      </c>
      <c r="D32" s="5">
        <v>42962.463194444441</v>
      </c>
      <c r="E32" s="4" t="s">
        <v>2221</v>
      </c>
      <c r="F32" s="4" t="s">
        <v>2222</v>
      </c>
      <c r="G32" s="4" t="s">
        <v>2280</v>
      </c>
      <c r="H32" s="4" t="s">
        <v>788</v>
      </c>
      <c r="I32" s="4" t="s">
        <v>824</v>
      </c>
      <c r="J32" s="4" t="s">
        <v>1924</v>
      </c>
      <c r="K32" s="5">
        <v>29567</v>
      </c>
      <c r="L32" s="4" t="s">
        <v>2281</v>
      </c>
      <c r="M32" s="4" t="s">
        <v>9</v>
      </c>
      <c r="N32" s="5">
        <v>42248</v>
      </c>
      <c r="O32" s="5" t="s">
        <v>2224</v>
      </c>
      <c r="P32" s="4" t="s">
        <v>2224</v>
      </c>
      <c r="Q32" s="4" t="s">
        <v>2282</v>
      </c>
      <c r="R32" s="4" t="s">
        <v>2226</v>
      </c>
      <c r="S32" s="4" t="s">
        <v>2227</v>
      </c>
      <c r="T32" s="4" t="s">
        <v>2228</v>
      </c>
      <c r="U32" s="4" t="s">
        <v>2248</v>
      </c>
      <c r="V32" s="4" t="s">
        <v>598</v>
      </c>
      <c r="W32" s="4" t="s">
        <v>2230</v>
      </c>
      <c r="X32" s="4" t="s">
        <v>2224</v>
      </c>
      <c r="Y32" s="4" t="s">
        <v>2283</v>
      </c>
      <c r="Z32" s="6">
        <v>50028.3</v>
      </c>
      <c r="AA32" s="6">
        <v>600339.6</v>
      </c>
      <c r="AB32" s="4" t="s">
        <v>2232</v>
      </c>
      <c r="AC32" s="7" t="s">
        <v>2224</v>
      </c>
    </row>
    <row r="33" spans="1:29" ht="15" customHeight="1" collapsed="1" thickBot="1" x14ac:dyDescent="0.3">
      <c r="A33" s="20" t="str">
        <f>CONCATENATE("108"," - ","MISS", " ","Sphiwe"," ", "Dagane")</f>
        <v>108 - MISS Sphiwe Dagane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</row>
    <row r="34" spans="1:29" ht="15" hidden="1" customHeight="1" outlineLevel="1" thickBot="1" x14ac:dyDescent="0.3">
      <c r="A34" s="4" t="s">
        <v>2284</v>
      </c>
      <c r="B34" s="4" t="s">
        <v>450</v>
      </c>
      <c r="C34" s="4" t="s">
        <v>2220</v>
      </c>
      <c r="D34" s="5">
        <v>42962.549999999996</v>
      </c>
      <c r="E34" s="4" t="s">
        <v>2221</v>
      </c>
      <c r="F34" s="4" t="s">
        <v>2222</v>
      </c>
      <c r="G34" s="4" t="s">
        <v>2234</v>
      </c>
      <c r="H34" s="4" t="s">
        <v>800</v>
      </c>
      <c r="I34" s="4" t="s">
        <v>1635</v>
      </c>
      <c r="J34" s="4" t="s">
        <v>1634</v>
      </c>
      <c r="K34" s="5">
        <v>33488</v>
      </c>
      <c r="L34" s="4" t="s">
        <v>2285</v>
      </c>
      <c r="M34" s="4" t="s">
        <v>9</v>
      </c>
      <c r="N34" s="5">
        <v>41666</v>
      </c>
      <c r="O34" s="5" t="s">
        <v>2224</v>
      </c>
      <c r="P34" s="4" t="s">
        <v>2224</v>
      </c>
      <c r="Q34" s="4" t="s">
        <v>2286</v>
      </c>
      <c r="R34" s="4" t="s">
        <v>2226</v>
      </c>
      <c r="S34" s="4" t="s">
        <v>2227</v>
      </c>
      <c r="T34" s="4" t="s">
        <v>2228</v>
      </c>
      <c r="U34" s="4" t="s">
        <v>2237</v>
      </c>
      <c r="V34" s="4" t="s">
        <v>8</v>
      </c>
      <c r="W34" s="4" t="s">
        <v>2278</v>
      </c>
      <c r="X34" s="4" t="s">
        <v>2224</v>
      </c>
      <c r="Y34" s="4" t="s">
        <v>2239</v>
      </c>
      <c r="Z34" s="6">
        <v>16486.259999999998</v>
      </c>
      <c r="AA34" s="6">
        <v>197835.12</v>
      </c>
      <c r="AB34" s="4" t="s">
        <v>2232</v>
      </c>
      <c r="AC34" s="7" t="s">
        <v>2224</v>
      </c>
    </row>
    <row r="35" spans="1:29" ht="15" customHeight="1" collapsed="1" thickBot="1" x14ac:dyDescent="0.3">
      <c r="A35" s="20" t="str">
        <f>CONCATENATE("1080"," - ","MR", " ","Graham"," ", "Ross")</f>
        <v>1080 - MR Graham Ross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</row>
    <row r="36" spans="1:29" ht="15" hidden="1" customHeight="1" outlineLevel="1" thickBot="1" x14ac:dyDescent="0.3">
      <c r="A36" s="4" t="s">
        <v>2287</v>
      </c>
      <c r="B36" s="4" t="s">
        <v>751</v>
      </c>
      <c r="C36" s="4" t="s">
        <v>2220</v>
      </c>
      <c r="D36" s="5">
        <v>42962.463194444441</v>
      </c>
      <c r="E36" s="4" t="s">
        <v>2221</v>
      </c>
      <c r="F36" s="4" t="s">
        <v>2222</v>
      </c>
      <c r="G36" s="4" t="s">
        <v>2014</v>
      </c>
      <c r="H36" s="4" t="s">
        <v>2155</v>
      </c>
      <c r="I36" s="4" t="s">
        <v>1594</v>
      </c>
      <c r="J36" s="4" t="s">
        <v>2154</v>
      </c>
      <c r="K36" s="5">
        <v>19795</v>
      </c>
      <c r="L36" s="4" t="s">
        <v>2288</v>
      </c>
      <c r="M36" s="4" t="s">
        <v>9</v>
      </c>
      <c r="N36" s="5">
        <v>42826</v>
      </c>
      <c r="O36" s="5" t="s">
        <v>2224</v>
      </c>
      <c r="P36" s="4" t="s">
        <v>2224</v>
      </c>
      <c r="Q36" s="4" t="s">
        <v>2289</v>
      </c>
      <c r="R36" s="4" t="s">
        <v>2226</v>
      </c>
      <c r="S36" s="4" t="s">
        <v>2227</v>
      </c>
      <c r="T36" s="4" t="s">
        <v>2228</v>
      </c>
      <c r="U36" s="4" t="s">
        <v>2248</v>
      </c>
      <c r="V36" s="4" t="s">
        <v>752</v>
      </c>
      <c r="W36" s="4" t="s">
        <v>2249</v>
      </c>
      <c r="X36" s="4" t="s">
        <v>2224</v>
      </c>
      <c r="Y36" s="4" t="s">
        <v>2290</v>
      </c>
      <c r="Z36" s="6">
        <v>50000</v>
      </c>
      <c r="AA36" s="6">
        <v>600000</v>
      </c>
      <c r="AB36" s="4" t="s">
        <v>2224</v>
      </c>
      <c r="AC36" s="7" t="s">
        <v>2224</v>
      </c>
    </row>
    <row r="37" spans="1:29" ht="15" customHeight="1" collapsed="1" thickBot="1" x14ac:dyDescent="0.3">
      <c r="A37" s="20" t="str">
        <f>CONCATENATE("109"," - ","MISS", " ","Badrunisa"," ", "Dalvie")</f>
        <v>109 - MISS Badrunisa Dalvie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2"/>
    </row>
    <row r="38" spans="1:29" ht="15" hidden="1" customHeight="1" outlineLevel="1" thickBot="1" x14ac:dyDescent="0.3">
      <c r="A38" s="4" t="s">
        <v>2291</v>
      </c>
      <c r="B38" s="4" t="s">
        <v>489</v>
      </c>
      <c r="C38" s="4" t="s">
        <v>2220</v>
      </c>
      <c r="D38" s="5">
        <v>42962.549999999996</v>
      </c>
      <c r="E38" s="4" t="s">
        <v>2221</v>
      </c>
      <c r="F38" s="4" t="s">
        <v>2222</v>
      </c>
      <c r="G38" s="4" t="s">
        <v>2234</v>
      </c>
      <c r="H38" s="4" t="s">
        <v>791</v>
      </c>
      <c r="I38" s="4" t="s">
        <v>1710</v>
      </c>
      <c r="J38" s="4" t="s">
        <v>1709</v>
      </c>
      <c r="K38" s="5">
        <v>34149</v>
      </c>
      <c r="L38" s="4" t="s">
        <v>2292</v>
      </c>
      <c r="M38" s="4" t="s">
        <v>9</v>
      </c>
      <c r="N38" s="5">
        <v>41928</v>
      </c>
      <c r="O38" s="5" t="s">
        <v>2224</v>
      </c>
      <c r="P38" s="4" t="s">
        <v>2224</v>
      </c>
      <c r="Q38" s="4" t="s">
        <v>2293</v>
      </c>
      <c r="R38" s="4" t="s">
        <v>2226</v>
      </c>
      <c r="S38" s="4" t="s">
        <v>2227</v>
      </c>
      <c r="T38" s="4" t="s">
        <v>2228</v>
      </c>
      <c r="U38" s="4" t="s">
        <v>2237</v>
      </c>
      <c r="V38" s="4" t="s">
        <v>8</v>
      </c>
      <c r="W38" s="4" t="s">
        <v>2278</v>
      </c>
      <c r="X38" s="4" t="s">
        <v>2224</v>
      </c>
      <c r="Y38" s="4" t="s">
        <v>2239</v>
      </c>
      <c r="Z38" s="6">
        <v>16282.72</v>
      </c>
      <c r="AA38" s="6">
        <v>195392.64000000001</v>
      </c>
      <c r="AB38" s="4" t="s">
        <v>2232</v>
      </c>
      <c r="AC38" s="7" t="s">
        <v>2224</v>
      </c>
    </row>
    <row r="39" spans="1:29" ht="15" customHeight="1" collapsed="1" thickBot="1" x14ac:dyDescent="0.3">
      <c r="A39" s="20" t="str">
        <f>CONCATENATE("1090"," - ","MR", " ","Retesh"," ", "Dhawakieram")</f>
        <v>1090 - MR Retesh Dhawakieram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</row>
    <row r="40" spans="1:29" ht="15" hidden="1" customHeight="1" outlineLevel="1" thickBot="1" x14ac:dyDescent="0.3">
      <c r="A40" s="4" t="s">
        <v>2294</v>
      </c>
      <c r="B40" s="4" t="s">
        <v>754</v>
      </c>
      <c r="C40" s="4" t="s">
        <v>2220</v>
      </c>
      <c r="D40" s="5">
        <v>42962.462500000001</v>
      </c>
      <c r="E40" s="4" t="s">
        <v>2221</v>
      </c>
      <c r="F40" s="4" t="s">
        <v>2222</v>
      </c>
      <c r="G40" s="4" t="s">
        <v>2014</v>
      </c>
      <c r="H40" s="4" t="s">
        <v>844</v>
      </c>
      <c r="I40" s="4" t="s">
        <v>2159</v>
      </c>
      <c r="J40" s="4" t="s">
        <v>2158</v>
      </c>
      <c r="K40" s="5">
        <v>27434</v>
      </c>
      <c r="L40" s="4" t="s">
        <v>2295</v>
      </c>
      <c r="M40" s="4" t="s">
        <v>9</v>
      </c>
      <c r="N40" s="5">
        <v>42843</v>
      </c>
      <c r="O40" s="5" t="s">
        <v>2224</v>
      </c>
      <c r="P40" s="4" t="s">
        <v>2224</v>
      </c>
      <c r="Q40" s="4" t="s">
        <v>2296</v>
      </c>
      <c r="R40" s="4" t="s">
        <v>2226</v>
      </c>
      <c r="S40" s="4" t="s">
        <v>2227</v>
      </c>
      <c r="T40" s="4" t="s">
        <v>2228</v>
      </c>
      <c r="U40" s="4" t="s">
        <v>2248</v>
      </c>
      <c r="V40" s="4" t="s">
        <v>755</v>
      </c>
      <c r="W40" s="4" t="s">
        <v>2297</v>
      </c>
      <c r="X40" s="4" t="s">
        <v>2224</v>
      </c>
      <c r="Y40" s="4" t="s">
        <v>2298</v>
      </c>
      <c r="Z40" s="6">
        <v>100000</v>
      </c>
      <c r="AA40" s="6">
        <v>1200000</v>
      </c>
      <c r="AB40" s="4" t="s">
        <v>2224</v>
      </c>
      <c r="AC40" s="7" t="s">
        <v>2244</v>
      </c>
    </row>
    <row r="41" spans="1:29" ht="15" customHeight="1" collapsed="1" thickBot="1" x14ac:dyDescent="0.3">
      <c r="A41" s="20" t="str">
        <f>CONCATENATE("1097"," - ","MR", " ","Vukani"," ", "Nhlapo")</f>
        <v>1097 - MR Vukani Nhlapo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2"/>
    </row>
    <row r="42" spans="1:29" ht="15" hidden="1" customHeight="1" outlineLevel="1" thickBot="1" x14ac:dyDescent="0.3">
      <c r="A42" s="4" t="s">
        <v>2299</v>
      </c>
      <c r="B42" s="4" t="s">
        <v>760</v>
      </c>
      <c r="C42" s="4" t="s">
        <v>2220</v>
      </c>
      <c r="D42" s="5">
        <v>42962.462500000001</v>
      </c>
      <c r="E42" s="4" t="s">
        <v>2221</v>
      </c>
      <c r="F42" s="4" t="s">
        <v>2222</v>
      </c>
      <c r="G42" s="4" t="s">
        <v>2014</v>
      </c>
      <c r="H42" s="4" t="s">
        <v>907</v>
      </c>
      <c r="I42" s="4" t="s">
        <v>2157</v>
      </c>
      <c r="J42" s="4" t="s">
        <v>2156</v>
      </c>
      <c r="K42" s="5">
        <v>29279</v>
      </c>
      <c r="L42" s="4" t="s">
        <v>2300</v>
      </c>
      <c r="M42" s="4" t="s">
        <v>9</v>
      </c>
      <c r="N42" s="5">
        <v>42856</v>
      </c>
      <c r="O42" s="5" t="s">
        <v>2224</v>
      </c>
      <c r="P42" s="4" t="s">
        <v>2224</v>
      </c>
      <c r="Q42" s="4" t="s">
        <v>2301</v>
      </c>
      <c r="R42" s="4" t="s">
        <v>2226</v>
      </c>
      <c r="S42" s="4" t="s">
        <v>2227</v>
      </c>
      <c r="T42" s="4" t="s">
        <v>2228</v>
      </c>
      <c r="U42" s="4" t="s">
        <v>2248</v>
      </c>
      <c r="V42" s="4" t="s">
        <v>467</v>
      </c>
      <c r="W42" s="4" t="s">
        <v>2249</v>
      </c>
      <c r="X42" s="4" t="s">
        <v>2224</v>
      </c>
      <c r="Y42" s="4" t="s">
        <v>2254</v>
      </c>
      <c r="Z42" s="6">
        <v>86763.94</v>
      </c>
      <c r="AA42" s="6">
        <v>1041167.28</v>
      </c>
      <c r="AB42" s="4" t="s">
        <v>2224</v>
      </c>
      <c r="AC42" s="7" t="s">
        <v>2244</v>
      </c>
    </row>
    <row r="43" spans="1:29" ht="15" customHeight="1" collapsed="1" thickBot="1" x14ac:dyDescent="0.3">
      <c r="A43" s="20" t="str">
        <f>CONCATENATE("1098"," - ","MRS", " ","Shirley"," ", "Sono")</f>
        <v>1098 - MRS Shirley Sono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2"/>
    </row>
    <row r="44" spans="1:29" ht="15" hidden="1" customHeight="1" outlineLevel="1" thickBot="1" x14ac:dyDescent="0.3">
      <c r="A44" s="4" t="s">
        <v>2302</v>
      </c>
      <c r="B44" s="4" t="s">
        <v>761</v>
      </c>
      <c r="C44" s="4" t="s">
        <v>2220</v>
      </c>
      <c r="D44" s="5">
        <v>42962.462500000001</v>
      </c>
      <c r="E44" s="4" t="s">
        <v>2221</v>
      </c>
      <c r="F44" s="4" t="s">
        <v>2222</v>
      </c>
      <c r="G44" s="4" t="s">
        <v>2280</v>
      </c>
      <c r="H44" s="4" t="s">
        <v>837</v>
      </c>
      <c r="I44" s="4" t="s">
        <v>2161</v>
      </c>
      <c r="J44" s="4" t="s">
        <v>2160</v>
      </c>
      <c r="K44" s="5">
        <v>27891</v>
      </c>
      <c r="L44" s="4" t="s">
        <v>2303</v>
      </c>
      <c r="M44" s="4" t="s">
        <v>9</v>
      </c>
      <c r="N44" s="5">
        <v>42856</v>
      </c>
      <c r="O44" s="5" t="s">
        <v>2224</v>
      </c>
      <c r="P44" s="4" t="s">
        <v>2224</v>
      </c>
      <c r="Q44" s="4" t="s">
        <v>2304</v>
      </c>
      <c r="R44" s="4" t="s">
        <v>2226</v>
      </c>
      <c r="S44" s="4" t="s">
        <v>2227</v>
      </c>
      <c r="T44" s="4" t="s">
        <v>2228</v>
      </c>
      <c r="U44" s="4" t="s">
        <v>2248</v>
      </c>
      <c r="V44" s="4" t="s">
        <v>762</v>
      </c>
      <c r="W44" s="4" t="s">
        <v>2249</v>
      </c>
      <c r="X44" s="4" t="s">
        <v>2224</v>
      </c>
      <c r="Y44" s="4" t="s">
        <v>2254</v>
      </c>
      <c r="Z44" s="6">
        <v>55000</v>
      </c>
      <c r="AA44" s="6">
        <v>660000</v>
      </c>
      <c r="AB44" s="4" t="s">
        <v>2224</v>
      </c>
      <c r="AC44" s="7" t="s">
        <v>2244</v>
      </c>
    </row>
    <row r="45" spans="1:29" ht="15" customHeight="1" collapsed="1" thickBot="1" x14ac:dyDescent="0.3">
      <c r="A45" s="20" t="str">
        <f>CONCATENATE("1099"," - ","MRS", " ","Tamzin"," ", "Strauss")</f>
        <v>1099 - MRS Tamzin Strauss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</row>
    <row r="46" spans="1:29" ht="15" hidden="1" customHeight="1" outlineLevel="1" thickBot="1" x14ac:dyDescent="0.3">
      <c r="A46" s="4" t="s">
        <v>2305</v>
      </c>
      <c r="B46" s="4" t="s">
        <v>757</v>
      </c>
      <c r="C46" s="4" t="s">
        <v>2220</v>
      </c>
      <c r="D46" s="5">
        <v>42962.462500000001</v>
      </c>
      <c r="E46" s="4" t="s">
        <v>2221</v>
      </c>
      <c r="F46" s="4" t="s">
        <v>2222</v>
      </c>
      <c r="G46" s="4" t="s">
        <v>2280</v>
      </c>
      <c r="H46" s="4" t="s">
        <v>819</v>
      </c>
      <c r="I46" s="4" t="s">
        <v>2168</v>
      </c>
      <c r="J46" s="4" t="s">
        <v>2167</v>
      </c>
      <c r="K46" s="5">
        <v>31488</v>
      </c>
      <c r="L46" s="4" t="s">
        <v>2306</v>
      </c>
      <c r="M46" s="4" t="s">
        <v>9</v>
      </c>
      <c r="N46" s="5">
        <v>42865</v>
      </c>
      <c r="O46" s="5" t="s">
        <v>2224</v>
      </c>
      <c r="P46" s="4" t="s">
        <v>2224</v>
      </c>
      <c r="Q46" s="4" t="s">
        <v>2307</v>
      </c>
      <c r="R46" s="4" t="s">
        <v>2226</v>
      </c>
      <c r="S46" s="4" t="s">
        <v>2227</v>
      </c>
      <c r="T46" s="4" t="s">
        <v>2228</v>
      </c>
      <c r="U46" s="4" t="s">
        <v>2248</v>
      </c>
      <c r="V46" s="4" t="s">
        <v>468</v>
      </c>
      <c r="W46" s="4" t="s">
        <v>2249</v>
      </c>
      <c r="X46" s="4" t="s">
        <v>2224</v>
      </c>
      <c r="Y46" s="4" t="s">
        <v>2298</v>
      </c>
      <c r="Z46" s="6">
        <v>58333.33</v>
      </c>
      <c r="AA46" s="6">
        <v>699999.96</v>
      </c>
      <c r="AB46" s="4" t="s">
        <v>2224</v>
      </c>
      <c r="AC46" s="7" t="s">
        <v>2244</v>
      </c>
    </row>
    <row r="47" spans="1:29" ht="15" customHeight="1" collapsed="1" thickBot="1" x14ac:dyDescent="0.3">
      <c r="A47" s="20" t="str">
        <f>CONCATENATE("110"," - ","MISS", " ","Jeandre"," ", "Daniels")</f>
        <v>110 - MISS Jeandre Daniels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2"/>
    </row>
    <row r="48" spans="1:29" ht="15" hidden="1" customHeight="1" outlineLevel="1" thickBot="1" x14ac:dyDescent="0.3">
      <c r="A48" s="4" t="s">
        <v>2308</v>
      </c>
      <c r="B48" s="4" t="s">
        <v>124</v>
      </c>
      <c r="C48" s="4" t="s">
        <v>2220</v>
      </c>
      <c r="D48" s="5">
        <v>42962.534722222219</v>
      </c>
      <c r="E48" s="4" t="s">
        <v>2221</v>
      </c>
      <c r="F48" s="4" t="s">
        <v>2222</v>
      </c>
      <c r="G48" s="4" t="s">
        <v>2234</v>
      </c>
      <c r="H48" s="4" t="s">
        <v>888</v>
      </c>
      <c r="I48" s="4" t="s">
        <v>1008</v>
      </c>
      <c r="J48" s="4" t="s">
        <v>1007</v>
      </c>
      <c r="K48" s="5">
        <v>31204</v>
      </c>
      <c r="L48" s="4" t="s">
        <v>2309</v>
      </c>
      <c r="M48" s="4" t="s">
        <v>9</v>
      </c>
      <c r="N48" s="5">
        <v>39069</v>
      </c>
      <c r="O48" s="5" t="s">
        <v>2224</v>
      </c>
      <c r="P48" s="4" t="s">
        <v>2224</v>
      </c>
      <c r="Q48" s="4" t="s">
        <v>2310</v>
      </c>
      <c r="R48" s="4" t="s">
        <v>2226</v>
      </c>
      <c r="S48" s="4" t="s">
        <v>2227</v>
      </c>
      <c r="T48" s="4" t="s">
        <v>2228</v>
      </c>
      <c r="U48" s="4" t="s">
        <v>2237</v>
      </c>
      <c r="V48" s="4" t="s">
        <v>125</v>
      </c>
      <c r="W48" s="4" t="s">
        <v>2230</v>
      </c>
      <c r="X48" s="4" t="s">
        <v>2224</v>
      </c>
      <c r="Y48" s="4" t="s">
        <v>2239</v>
      </c>
      <c r="Z48" s="6">
        <v>21430.112000000001</v>
      </c>
      <c r="AA48" s="6">
        <v>257161.34</v>
      </c>
      <c r="AB48" s="4" t="s">
        <v>2232</v>
      </c>
      <c r="AC48" s="7" t="s">
        <v>2224</v>
      </c>
    </row>
    <row r="49" spans="1:29" ht="15" customHeight="1" collapsed="1" thickBot="1" x14ac:dyDescent="0.3">
      <c r="A49" s="20" t="str">
        <f>CONCATENATE("1100"," - ","MISS", " ","Beejal"," ", "Govan")</f>
        <v>1100 - MISS Beejal Govan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2"/>
    </row>
    <row r="50" spans="1:29" ht="15" hidden="1" customHeight="1" outlineLevel="1" thickBot="1" x14ac:dyDescent="0.3">
      <c r="A50" s="4" t="s">
        <v>2311</v>
      </c>
      <c r="B50" s="4" t="s">
        <v>756</v>
      </c>
      <c r="C50" s="4" t="s">
        <v>2220</v>
      </c>
      <c r="D50" s="5">
        <v>42963.291666666664</v>
      </c>
      <c r="E50" s="4" t="s">
        <v>2221</v>
      </c>
      <c r="F50" s="4" t="s">
        <v>2222</v>
      </c>
      <c r="G50" s="4" t="s">
        <v>2234</v>
      </c>
      <c r="H50" s="4" t="s">
        <v>791</v>
      </c>
      <c r="I50" s="4" t="s">
        <v>2163</v>
      </c>
      <c r="J50" s="4" t="s">
        <v>2162</v>
      </c>
      <c r="K50" s="5">
        <v>32580</v>
      </c>
      <c r="L50" s="4" t="s">
        <v>2312</v>
      </c>
      <c r="M50" s="4" t="s">
        <v>9</v>
      </c>
      <c r="N50" s="5">
        <v>42856</v>
      </c>
      <c r="O50" s="5" t="s">
        <v>2224</v>
      </c>
      <c r="P50" s="4" t="s">
        <v>2224</v>
      </c>
      <c r="Q50" s="4" t="s">
        <v>2313</v>
      </c>
      <c r="R50" s="4" t="s">
        <v>2226</v>
      </c>
      <c r="S50" s="4" t="s">
        <v>2227</v>
      </c>
      <c r="T50" s="4" t="s">
        <v>2228</v>
      </c>
      <c r="U50" s="4" t="s">
        <v>2258</v>
      </c>
      <c r="V50" s="4" t="s">
        <v>257</v>
      </c>
      <c r="W50" s="4" t="s">
        <v>2249</v>
      </c>
      <c r="X50" s="4" t="s">
        <v>2224</v>
      </c>
      <c r="Y50" s="4" t="s">
        <v>2259</v>
      </c>
      <c r="Z50" s="6">
        <v>60044.52</v>
      </c>
      <c r="AA50" s="6">
        <v>720534.24</v>
      </c>
      <c r="AB50" s="4" t="s">
        <v>2232</v>
      </c>
      <c r="AC50" s="7" t="s">
        <v>2244</v>
      </c>
    </row>
    <row r="51" spans="1:29" ht="15" customHeight="1" collapsed="1" thickBot="1" x14ac:dyDescent="0.3">
      <c r="A51" s="20" t="str">
        <f>CONCATENATE("1101"," - ","MRS", " ","Shelley Anne"," ", "Hubbard")</f>
        <v>1101 - MRS Shelley Anne Hubbard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2"/>
    </row>
    <row r="52" spans="1:29" ht="15" hidden="1" customHeight="1" outlineLevel="1" thickBot="1" x14ac:dyDescent="0.3">
      <c r="A52" s="4" t="s">
        <v>2314</v>
      </c>
      <c r="B52" s="4" t="s">
        <v>758</v>
      </c>
      <c r="C52" s="4" t="s">
        <v>2220</v>
      </c>
      <c r="D52" s="5">
        <v>42962.463194444441</v>
      </c>
      <c r="E52" s="4" t="s">
        <v>2221</v>
      </c>
      <c r="F52" s="4" t="s">
        <v>2222</v>
      </c>
      <c r="G52" s="4" t="s">
        <v>2280</v>
      </c>
      <c r="H52" s="4" t="s">
        <v>1139</v>
      </c>
      <c r="I52" s="4" t="s">
        <v>2170</v>
      </c>
      <c r="J52" s="4" t="s">
        <v>2169</v>
      </c>
      <c r="K52" s="5">
        <v>27276</v>
      </c>
      <c r="L52" s="4" t="s">
        <v>2315</v>
      </c>
      <c r="M52" s="4" t="s">
        <v>9</v>
      </c>
      <c r="N52" s="5">
        <v>42863</v>
      </c>
      <c r="O52" s="5" t="s">
        <v>2224</v>
      </c>
      <c r="P52" s="4" t="s">
        <v>2224</v>
      </c>
      <c r="Q52" s="4" t="s">
        <v>2316</v>
      </c>
      <c r="R52" s="4" t="s">
        <v>2226</v>
      </c>
      <c r="S52" s="4" t="s">
        <v>2227</v>
      </c>
      <c r="T52" s="4" t="s">
        <v>2228</v>
      </c>
      <c r="U52" s="4" t="s">
        <v>2248</v>
      </c>
      <c r="V52" s="4" t="s">
        <v>759</v>
      </c>
      <c r="W52" s="4" t="s">
        <v>2230</v>
      </c>
      <c r="X52" s="4" t="s">
        <v>2224</v>
      </c>
      <c r="Y52" s="4" t="s">
        <v>2317</v>
      </c>
      <c r="Z52" s="6">
        <v>28282.67</v>
      </c>
      <c r="AA52" s="6">
        <v>339392.04</v>
      </c>
      <c r="AB52" s="4" t="s">
        <v>2224</v>
      </c>
      <c r="AC52" s="7" t="s">
        <v>2224</v>
      </c>
    </row>
    <row r="53" spans="1:29" ht="15" customHeight="1" collapsed="1" thickBot="1" x14ac:dyDescent="0.3">
      <c r="A53" s="20" t="str">
        <f>CONCATENATE("111"," - ","MR", " ","Victor"," ", "Dasi")</f>
        <v>111 - MR Victor Dasi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</row>
    <row r="54" spans="1:29" ht="15" hidden="1" customHeight="1" outlineLevel="1" thickBot="1" x14ac:dyDescent="0.3">
      <c r="A54" s="4" t="s">
        <v>2318</v>
      </c>
      <c r="B54" s="4" t="s">
        <v>227</v>
      </c>
      <c r="C54" s="4" t="s">
        <v>2220</v>
      </c>
      <c r="D54" s="5">
        <v>42962.461111111108</v>
      </c>
      <c r="E54" s="4" t="s">
        <v>2221</v>
      </c>
      <c r="F54" s="4" t="s">
        <v>2222</v>
      </c>
      <c r="G54" s="4" t="s">
        <v>2014</v>
      </c>
      <c r="H54" s="4" t="s">
        <v>1216</v>
      </c>
      <c r="I54" s="4" t="s">
        <v>1217</v>
      </c>
      <c r="J54" s="4" t="s">
        <v>1215</v>
      </c>
      <c r="K54" s="5">
        <v>29342</v>
      </c>
      <c r="L54" s="4" t="s">
        <v>2319</v>
      </c>
      <c r="M54" s="4" t="s">
        <v>9</v>
      </c>
      <c r="N54" s="5">
        <v>40299</v>
      </c>
      <c r="O54" s="5" t="s">
        <v>2224</v>
      </c>
      <c r="P54" s="4" t="s">
        <v>2224</v>
      </c>
      <c r="Q54" s="4" t="s">
        <v>2320</v>
      </c>
      <c r="R54" s="4" t="s">
        <v>2226</v>
      </c>
      <c r="S54" s="4" t="s">
        <v>2227</v>
      </c>
      <c r="T54" s="4" t="s">
        <v>2228</v>
      </c>
      <c r="U54" s="4" t="s">
        <v>2229</v>
      </c>
      <c r="V54" s="4" t="s">
        <v>25</v>
      </c>
      <c r="W54" s="4" t="s">
        <v>2278</v>
      </c>
      <c r="X54" s="4" t="s">
        <v>2224</v>
      </c>
      <c r="Y54" s="4" t="s">
        <v>2321</v>
      </c>
      <c r="Z54" s="6">
        <v>17112.251499999998</v>
      </c>
      <c r="AA54" s="6">
        <v>205347.02</v>
      </c>
      <c r="AB54" s="4" t="s">
        <v>2232</v>
      </c>
      <c r="AC54" s="7" t="s">
        <v>2224</v>
      </c>
    </row>
    <row r="55" spans="1:29" ht="15" customHeight="1" collapsed="1" thickBot="1" x14ac:dyDescent="0.3">
      <c r="A55" s="20" t="str">
        <f>CONCATENATE("112"," - ","MRS", " ","Cindy-jo"," ", "Davids")</f>
        <v>112 - MRS Cindy-jo Davids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</row>
    <row r="56" spans="1:29" ht="15" hidden="1" customHeight="1" outlineLevel="1" thickBot="1" x14ac:dyDescent="0.3">
      <c r="A56" s="4" t="s">
        <v>2322</v>
      </c>
      <c r="B56" s="4" t="s">
        <v>274</v>
      </c>
      <c r="C56" s="4" t="s">
        <v>2220</v>
      </c>
      <c r="D56" s="5">
        <v>42962.461805555555</v>
      </c>
      <c r="E56" s="4" t="s">
        <v>2221</v>
      </c>
      <c r="F56" s="4" t="s">
        <v>2222</v>
      </c>
      <c r="G56" s="4" t="s">
        <v>2280</v>
      </c>
      <c r="H56" s="4" t="s">
        <v>1304</v>
      </c>
      <c r="I56" s="4" t="s">
        <v>1305</v>
      </c>
      <c r="J56" s="4" t="s">
        <v>1303</v>
      </c>
      <c r="K56" s="5">
        <v>31222</v>
      </c>
      <c r="L56" s="4" t="s">
        <v>2323</v>
      </c>
      <c r="M56" s="4" t="s">
        <v>9</v>
      </c>
      <c r="N56" s="5">
        <v>40721</v>
      </c>
      <c r="O56" s="5" t="s">
        <v>2224</v>
      </c>
      <c r="P56" s="4" t="s">
        <v>2224</v>
      </c>
      <c r="Q56" s="4" t="s">
        <v>2324</v>
      </c>
      <c r="R56" s="4" t="s">
        <v>2226</v>
      </c>
      <c r="S56" s="4" t="s">
        <v>2227</v>
      </c>
      <c r="T56" s="4" t="s">
        <v>2228</v>
      </c>
      <c r="U56" s="4" t="s">
        <v>2229</v>
      </c>
      <c r="V56" s="4" t="s">
        <v>25</v>
      </c>
      <c r="W56" s="4" t="s">
        <v>2278</v>
      </c>
      <c r="X56" s="4" t="s">
        <v>2224</v>
      </c>
      <c r="Y56" s="4" t="s">
        <v>2231</v>
      </c>
      <c r="Z56" s="6">
        <v>16900.989099999999</v>
      </c>
      <c r="AA56" s="6">
        <v>202811.87</v>
      </c>
      <c r="AB56" s="4" t="s">
        <v>2232</v>
      </c>
      <c r="AC56" s="7" t="s">
        <v>2224</v>
      </c>
    </row>
    <row r="57" spans="1:29" ht="15" customHeight="1" collapsed="1" thickBot="1" x14ac:dyDescent="0.3">
      <c r="A57" s="20" t="str">
        <f>CONCATENATE("1127"," - ","MR", " ","Akhil"," ", "Kowlasseur")</f>
        <v>1127 - MR Akhil Kowlasseur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2"/>
    </row>
    <row r="58" spans="1:29" ht="15" hidden="1" customHeight="1" outlineLevel="1" thickBot="1" x14ac:dyDescent="0.3">
      <c r="A58" s="4" t="s">
        <v>2325</v>
      </c>
      <c r="B58" s="4" t="s">
        <v>774</v>
      </c>
      <c r="C58" s="4" t="s">
        <v>2220</v>
      </c>
      <c r="D58" s="5">
        <v>42962.461805555555</v>
      </c>
      <c r="E58" s="4" t="s">
        <v>2221</v>
      </c>
      <c r="F58" s="4" t="s">
        <v>2222</v>
      </c>
      <c r="G58" s="4" t="s">
        <v>2014</v>
      </c>
      <c r="H58" s="4" t="s">
        <v>742</v>
      </c>
      <c r="I58" s="4" t="s">
        <v>2172</v>
      </c>
      <c r="J58" s="4" t="s">
        <v>2171</v>
      </c>
      <c r="K58" s="5">
        <v>27646</v>
      </c>
      <c r="L58" s="4" t="s">
        <v>2326</v>
      </c>
      <c r="M58" s="4" t="s">
        <v>9</v>
      </c>
      <c r="N58" s="5">
        <v>42887</v>
      </c>
      <c r="O58" s="5" t="s">
        <v>2224</v>
      </c>
      <c r="P58" s="4" t="s">
        <v>2224</v>
      </c>
      <c r="Q58" s="4" t="s">
        <v>2327</v>
      </c>
      <c r="R58" s="4" t="s">
        <v>2226</v>
      </c>
      <c r="S58" s="4" t="s">
        <v>2227</v>
      </c>
      <c r="T58" s="4" t="s">
        <v>2228</v>
      </c>
      <c r="U58" s="4" t="s">
        <v>2248</v>
      </c>
      <c r="V58" s="4" t="s">
        <v>299</v>
      </c>
      <c r="W58" s="4" t="s">
        <v>2224</v>
      </c>
      <c r="X58" s="4" t="s">
        <v>2224</v>
      </c>
      <c r="Y58" s="4" t="s">
        <v>2328</v>
      </c>
      <c r="Z58" s="6">
        <v>17112.25</v>
      </c>
      <c r="AA58" s="6">
        <v>205347</v>
      </c>
      <c r="AB58" s="4" t="s">
        <v>2224</v>
      </c>
      <c r="AC58" s="7" t="s">
        <v>2244</v>
      </c>
    </row>
    <row r="59" spans="1:29" ht="15" customHeight="1" collapsed="1" thickBot="1" x14ac:dyDescent="0.3">
      <c r="A59" s="20" t="str">
        <f>CONCATENATE("1128"," - ","MR", " ","Gareth"," ", "Pinnock")</f>
        <v>1128 - MR Gareth Pinnock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2"/>
    </row>
    <row r="60" spans="1:29" ht="15" hidden="1" customHeight="1" outlineLevel="1" thickBot="1" x14ac:dyDescent="0.3">
      <c r="A60" s="4" t="s">
        <v>2329</v>
      </c>
      <c r="B60" s="4" t="s">
        <v>763</v>
      </c>
      <c r="C60" s="4" t="s">
        <v>2220</v>
      </c>
      <c r="D60" s="5">
        <v>42963.291666666664</v>
      </c>
      <c r="E60" s="4" t="s">
        <v>2221</v>
      </c>
      <c r="F60" s="4" t="s">
        <v>2222</v>
      </c>
      <c r="G60" s="4" t="s">
        <v>2014</v>
      </c>
      <c r="H60" s="4" t="s">
        <v>805</v>
      </c>
      <c r="I60" s="4" t="s">
        <v>1347</v>
      </c>
      <c r="J60" s="4" t="s">
        <v>2173</v>
      </c>
      <c r="K60" s="5">
        <v>29922</v>
      </c>
      <c r="L60" s="4" t="s">
        <v>2330</v>
      </c>
      <c r="M60" s="4" t="s">
        <v>9</v>
      </c>
      <c r="N60" s="5">
        <v>42887</v>
      </c>
      <c r="O60" s="5" t="s">
        <v>2224</v>
      </c>
      <c r="P60" s="4" t="s">
        <v>2224</v>
      </c>
      <c r="Q60" s="4" t="s">
        <v>2331</v>
      </c>
      <c r="R60" s="4" t="s">
        <v>2226</v>
      </c>
      <c r="S60" s="4" t="s">
        <v>2227</v>
      </c>
      <c r="T60" s="4" t="s">
        <v>2228</v>
      </c>
      <c r="U60" s="4" t="s">
        <v>2258</v>
      </c>
      <c r="V60" s="4" t="s">
        <v>246</v>
      </c>
      <c r="W60" s="4" t="s">
        <v>2249</v>
      </c>
      <c r="X60" s="4" t="s">
        <v>2224</v>
      </c>
      <c r="Y60" s="4" t="s">
        <v>2259</v>
      </c>
      <c r="Z60" s="6">
        <v>66716.14</v>
      </c>
      <c r="AA60" s="6">
        <v>800593.68</v>
      </c>
      <c r="AB60" s="4" t="s">
        <v>2232</v>
      </c>
      <c r="AC60" s="7" t="s">
        <v>2244</v>
      </c>
    </row>
    <row r="61" spans="1:29" ht="15" customHeight="1" collapsed="1" thickBot="1" x14ac:dyDescent="0.3">
      <c r="A61" s="20" t="str">
        <f>CONCATENATE("1129"," - ","MR", " ","Moeketsi"," ", "Mpaka")</f>
        <v>1129 - MR Moeketsi Mpaka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2"/>
    </row>
    <row r="62" spans="1:29" ht="15" hidden="1" customHeight="1" outlineLevel="1" thickBot="1" x14ac:dyDescent="0.3">
      <c r="A62" s="4" t="s">
        <v>2332</v>
      </c>
      <c r="B62" s="4" t="s">
        <v>764</v>
      </c>
      <c r="C62" s="4" t="s">
        <v>2220</v>
      </c>
      <c r="D62" s="5">
        <v>42963.292361111111</v>
      </c>
      <c r="E62" s="4" t="s">
        <v>2221</v>
      </c>
      <c r="F62" s="4" t="s">
        <v>2222</v>
      </c>
      <c r="G62" s="4" t="s">
        <v>2014</v>
      </c>
      <c r="H62" s="4" t="s">
        <v>788</v>
      </c>
      <c r="I62" s="4" t="s">
        <v>2178</v>
      </c>
      <c r="J62" s="4" t="s">
        <v>2177</v>
      </c>
      <c r="K62" s="5">
        <v>32989</v>
      </c>
      <c r="L62" s="4" t="s">
        <v>2333</v>
      </c>
      <c r="M62" s="4" t="s">
        <v>9</v>
      </c>
      <c r="N62" s="5">
        <v>42887</v>
      </c>
      <c r="O62" s="5" t="s">
        <v>2224</v>
      </c>
      <c r="P62" s="4" t="s">
        <v>2224</v>
      </c>
      <c r="Q62" s="4" t="s">
        <v>2334</v>
      </c>
      <c r="R62" s="4" t="s">
        <v>2226</v>
      </c>
      <c r="S62" s="4" t="s">
        <v>2227</v>
      </c>
      <c r="T62" s="4" t="s">
        <v>2228</v>
      </c>
      <c r="U62" s="4" t="s">
        <v>2258</v>
      </c>
      <c r="V62" s="4" t="s">
        <v>246</v>
      </c>
      <c r="W62" s="4" t="s">
        <v>2249</v>
      </c>
      <c r="X62" s="4" t="s">
        <v>2224</v>
      </c>
      <c r="Y62" s="4" t="s">
        <v>2259</v>
      </c>
      <c r="Z62" s="6">
        <v>66716.14</v>
      </c>
      <c r="AA62" s="6">
        <v>800593.68</v>
      </c>
      <c r="AB62" s="4" t="s">
        <v>2232</v>
      </c>
      <c r="AC62" s="7" t="s">
        <v>2244</v>
      </c>
    </row>
    <row r="63" spans="1:29" ht="15" customHeight="1" collapsed="1" thickBot="1" x14ac:dyDescent="0.3">
      <c r="A63" s="20" t="str">
        <f>CONCATENATE("113"," - ","MISS", " ","Melissa"," ", "Davis")</f>
        <v>113 - MISS Melissa Davis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</row>
    <row r="64" spans="1:29" ht="15" hidden="1" customHeight="1" outlineLevel="1" thickBot="1" x14ac:dyDescent="0.3">
      <c r="A64" s="4" t="s">
        <v>2335</v>
      </c>
      <c r="B64" s="4" t="s">
        <v>271</v>
      </c>
      <c r="C64" s="4" t="s">
        <v>2220</v>
      </c>
      <c r="D64" s="5">
        <v>42962.536805555552</v>
      </c>
      <c r="E64" s="4" t="s">
        <v>2221</v>
      </c>
      <c r="F64" s="4" t="s">
        <v>2222</v>
      </c>
      <c r="G64" s="4" t="s">
        <v>2234</v>
      </c>
      <c r="H64" s="4" t="s">
        <v>788</v>
      </c>
      <c r="I64" s="4" t="s">
        <v>1297</v>
      </c>
      <c r="J64" s="4" t="s">
        <v>1296</v>
      </c>
      <c r="K64" s="5">
        <v>33380</v>
      </c>
      <c r="L64" s="4" t="s">
        <v>2336</v>
      </c>
      <c r="M64" s="4" t="s">
        <v>9</v>
      </c>
      <c r="N64" s="5">
        <v>40682</v>
      </c>
      <c r="O64" s="5" t="s">
        <v>2224</v>
      </c>
      <c r="P64" s="4" t="s">
        <v>2224</v>
      </c>
      <c r="Q64" s="4" t="s">
        <v>2337</v>
      </c>
      <c r="R64" s="4" t="s">
        <v>2226</v>
      </c>
      <c r="S64" s="4" t="s">
        <v>2227</v>
      </c>
      <c r="T64" s="4" t="s">
        <v>2228</v>
      </c>
      <c r="U64" s="4" t="s">
        <v>2237</v>
      </c>
      <c r="V64" s="4" t="s">
        <v>8</v>
      </c>
      <c r="W64" s="4" t="s">
        <v>2238</v>
      </c>
      <c r="X64" s="4" t="s">
        <v>2224</v>
      </c>
      <c r="Y64" s="4" t="s">
        <v>2239</v>
      </c>
      <c r="Z64" s="6">
        <v>17112.25</v>
      </c>
      <c r="AA64" s="6">
        <v>205347</v>
      </c>
      <c r="AB64" s="4" t="s">
        <v>2232</v>
      </c>
      <c r="AC64" s="7" t="s">
        <v>2224</v>
      </c>
    </row>
    <row r="65" spans="1:29" ht="15" customHeight="1" collapsed="1" thickBot="1" x14ac:dyDescent="0.3">
      <c r="A65" s="20" t="str">
        <f>CONCATENATE("114"," - ","MR", " ","Simon"," ", "Day")</f>
        <v>114 - MR Simon 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</row>
    <row r="66" spans="1:29" ht="15" hidden="1" customHeight="1" outlineLevel="1" thickBot="1" x14ac:dyDescent="0.3">
      <c r="A66" s="4" t="s">
        <v>2338</v>
      </c>
      <c r="B66" s="4" t="s">
        <v>652</v>
      </c>
      <c r="C66" s="4" t="s">
        <v>2220</v>
      </c>
      <c r="D66" s="5">
        <v>42963.289583333331</v>
      </c>
      <c r="E66" s="4" t="s">
        <v>2221</v>
      </c>
      <c r="F66" s="4" t="s">
        <v>2222</v>
      </c>
      <c r="G66" s="4" t="s">
        <v>2014</v>
      </c>
      <c r="H66" s="4" t="s">
        <v>800</v>
      </c>
      <c r="I66" s="4" t="s">
        <v>1964</v>
      </c>
      <c r="J66" s="4" t="s">
        <v>1986</v>
      </c>
      <c r="K66" s="5">
        <v>30593</v>
      </c>
      <c r="L66" s="4" t="s">
        <v>2339</v>
      </c>
      <c r="M66" s="4" t="s">
        <v>9</v>
      </c>
      <c r="N66" s="5">
        <v>42370</v>
      </c>
      <c r="O66" s="5" t="s">
        <v>2224</v>
      </c>
      <c r="P66" s="4" t="s">
        <v>2224</v>
      </c>
      <c r="Q66" s="4" t="s">
        <v>2340</v>
      </c>
      <c r="R66" s="4" t="s">
        <v>2226</v>
      </c>
      <c r="S66" s="4" t="s">
        <v>2227</v>
      </c>
      <c r="T66" s="4" t="s">
        <v>2228</v>
      </c>
      <c r="U66" s="4" t="s">
        <v>2258</v>
      </c>
      <c r="V66" s="4" t="s">
        <v>246</v>
      </c>
      <c r="W66" s="4" t="s">
        <v>2249</v>
      </c>
      <c r="X66" s="4" t="s">
        <v>2224</v>
      </c>
      <c r="Y66" s="4" t="s">
        <v>2259</v>
      </c>
      <c r="Z66" s="6">
        <v>68050.454400000002</v>
      </c>
      <c r="AA66" s="6">
        <v>816605.45</v>
      </c>
      <c r="AB66" s="4" t="s">
        <v>2232</v>
      </c>
      <c r="AC66" s="7" t="s">
        <v>2224</v>
      </c>
    </row>
    <row r="67" spans="1:29" ht="15" customHeight="1" collapsed="1" thickBot="1" x14ac:dyDescent="0.3">
      <c r="A67" s="20" t="str">
        <f>CONCATENATE("115"," - ","MISS", " ","Jennifer"," ", "De Groot")</f>
        <v>115 - MISS Jennifer De Groot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</row>
    <row r="68" spans="1:29" ht="15" hidden="1" customHeight="1" outlineLevel="1" thickBot="1" x14ac:dyDescent="0.3">
      <c r="A68" s="4" t="s">
        <v>2341</v>
      </c>
      <c r="B68" s="4" t="s">
        <v>514</v>
      </c>
      <c r="C68" s="4" t="s">
        <v>2220</v>
      </c>
      <c r="D68" s="5">
        <v>42962.549999999996</v>
      </c>
      <c r="E68" s="4" t="s">
        <v>2221</v>
      </c>
      <c r="F68" s="4" t="s">
        <v>2222</v>
      </c>
      <c r="G68" s="4" t="s">
        <v>2234</v>
      </c>
      <c r="H68" s="4" t="s">
        <v>1761</v>
      </c>
      <c r="I68" s="4" t="s">
        <v>889</v>
      </c>
      <c r="J68" s="4" t="s">
        <v>1760</v>
      </c>
      <c r="K68" s="5">
        <v>34432</v>
      </c>
      <c r="L68" s="4" t="s">
        <v>2342</v>
      </c>
      <c r="M68" s="4" t="s">
        <v>9</v>
      </c>
      <c r="N68" s="5">
        <v>42031</v>
      </c>
      <c r="O68" s="5" t="s">
        <v>2224</v>
      </c>
      <c r="P68" s="4" t="s">
        <v>2224</v>
      </c>
      <c r="Q68" s="4" t="s">
        <v>2343</v>
      </c>
      <c r="R68" s="4" t="s">
        <v>2226</v>
      </c>
      <c r="S68" s="4" t="s">
        <v>2227</v>
      </c>
      <c r="T68" s="4" t="s">
        <v>2228</v>
      </c>
      <c r="U68" s="4" t="s">
        <v>2237</v>
      </c>
      <c r="V68" s="4" t="s">
        <v>8</v>
      </c>
      <c r="W68" s="4" t="s">
        <v>2278</v>
      </c>
      <c r="X68" s="4" t="s">
        <v>2224</v>
      </c>
      <c r="Y68" s="4" t="s">
        <v>2239</v>
      </c>
      <c r="Z68" s="6">
        <v>16282.72</v>
      </c>
      <c r="AA68" s="6">
        <v>195392.64000000001</v>
      </c>
      <c r="AB68" s="4" t="s">
        <v>2232</v>
      </c>
      <c r="AC68" s="7" t="s">
        <v>2224</v>
      </c>
    </row>
    <row r="69" spans="1:29" ht="15" customHeight="1" collapsed="1" thickBot="1" x14ac:dyDescent="0.3">
      <c r="A69" s="20" t="str">
        <f>CONCATENATE("1155"," - ","MR", " ","Muhammed"," ", "Hassen")</f>
        <v>1155 - MR Muhammed Hassen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2"/>
    </row>
    <row r="70" spans="1:29" ht="15" hidden="1" customHeight="1" outlineLevel="1" thickBot="1" x14ac:dyDescent="0.3">
      <c r="A70" s="4" t="s">
        <v>2344</v>
      </c>
      <c r="B70" s="4" t="s">
        <v>2164</v>
      </c>
      <c r="C70" s="4" t="s">
        <v>2220</v>
      </c>
      <c r="D70" s="5">
        <v>42948.696527777778</v>
      </c>
      <c r="E70" s="4" t="s">
        <v>2221</v>
      </c>
      <c r="F70" s="4" t="s">
        <v>2222</v>
      </c>
      <c r="G70" s="4" t="s">
        <v>2014</v>
      </c>
      <c r="H70" s="4" t="s">
        <v>788</v>
      </c>
      <c r="I70" s="4" t="s">
        <v>2166</v>
      </c>
      <c r="J70" s="4" t="s">
        <v>2165</v>
      </c>
      <c r="K70" s="5">
        <v>32922</v>
      </c>
      <c r="L70" s="4" t="s">
        <v>2345</v>
      </c>
      <c r="M70" s="4" t="s">
        <v>9</v>
      </c>
      <c r="N70" s="5">
        <v>42921</v>
      </c>
      <c r="O70" s="5" t="s">
        <v>2224</v>
      </c>
      <c r="P70" s="4" t="s">
        <v>2224</v>
      </c>
      <c r="Q70" s="4" t="s">
        <v>2346</v>
      </c>
      <c r="R70" s="4" t="s">
        <v>2226</v>
      </c>
      <c r="S70" s="4" t="s">
        <v>2227</v>
      </c>
      <c r="T70" s="4" t="s">
        <v>2228</v>
      </c>
      <c r="U70" s="4" t="s">
        <v>2258</v>
      </c>
      <c r="V70" s="4" t="s">
        <v>257</v>
      </c>
      <c r="W70" s="4" t="s">
        <v>2249</v>
      </c>
      <c r="X70" s="4" t="s">
        <v>2224</v>
      </c>
      <c r="Y70" s="4" t="s">
        <v>2259</v>
      </c>
      <c r="Z70" s="6">
        <v>60044.52</v>
      </c>
      <c r="AA70" s="6">
        <v>720534.24</v>
      </c>
      <c r="AB70" s="4" t="s">
        <v>2224</v>
      </c>
      <c r="AC70" s="7" t="s">
        <v>2244</v>
      </c>
    </row>
    <row r="71" spans="1:29" ht="15" customHeight="1" collapsed="1" thickBot="1" x14ac:dyDescent="0.3">
      <c r="A71" s="20" t="str">
        <f>CONCATENATE("1156"," - ","MR", " ","Letitia"," ", "Alberts")</f>
        <v>1156 - MR Letitia Alberts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2"/>
    </row>
    <row r="72" spans="1:29" ht="15" hidden="1" customHeight="1" outlineLevel="1" thickBot="1" x14ac:dyDescent="0.3">
      <c r="A72" s="4" t="s">
        <v>2347</v>
      </c>
      <c r="B72" s="4" t="s">
        <v>2196</v>
      </c>
      <c r="C72" s="4" t="s">
        <v>2220</v>
      </c>
      <c r="D72" s="5">
        <v>42948.693055555552</v>
      </c>
      <c r="E72" s="4" t="s">
        <v>2221</v>
      </c>
      <c r="F72" s="4" t="s">
        <v>2222</v>
      </c>
      <c r="G72" s="4" t="s">
        <v>2014</v>
      </c>
      <c r="H72" s="4" t="s">
        <v>826</v>
      </c>
      <c r="I72" s="4" t="s">
        <v>2198</v>
      </c>
      <c r="J72" s="4" t="s">
        <v>2197</v>
      </c>
      <c r="K72" s="5">
        <v>32009</v>
      </c>
      <c r="L72" s="4" t="s">
        <v>2348</v>
      </c>
      <c r="M72" s="4" t="s">
        <v>9</v>
      </c>
      <c r="N72" s="5">
        <v>42917</v>
      </c>
      <c r="O72" s="5" t="s">
        <v>2224</v>
      </c>
      <c r="P72" s="4" t="s">
        <v>2224</v>
      </c>
      <c r="Q72" s="4" t="s">
        <v>2349</v>
      </c>
      <c r="R72" s="4" t="s">
        <v>2226</v>
      </c>
      <c r="S72" s="4" t="s">
        <v>2227</v>
      </c>
      <c r="T72" s="4" t="s">
        <v>2228</v>
      </c>
      <c r="U72" s="4" t="s">
        <v>2248</v>
      </c>
      <c r="V72" s="4" t="s">
        <v>299</v>
      </c>
      <c r="W72" s="4" t="s">
        <v>2230</v>
      </c>
      <c r="X72" s="4" t="s">
        <v>2224</v>
      </c>
      <c r="Y72" s="4" t="s">
        <v>2328</v>
      </c>
      <c r="Z72" s="6">
        <v>17112.25</v>
      </c>
      <c r="AA72" s="6">
        <v>205347</v>
      </c>
      <c r="AB72" s="4" t="s">
        <v>2224</v>
      </c>
      <c r="AC72" s="7" t="s">
        <v>2224</v>
      </c>
    </row>
    <row r="73" spans="1:29" ht="15" customHeight="1" collapsed="1" thickBot="1" x14ac:dyDescent="0.3">
      <c r="A73" s="20" t="str">
        <f>CONCATENATE("116"," - ","MISS", " ","Daniella"," ", "De Klerk")</f>
        <v>116 - MISS Daniella De Klerk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2"/>
    </row>
    <row r="74" spans="1:29" ht="15" hidden="1" customHeight="1" outlineLevel="1" thickBot="1" x14ac:dyDescent="0.3">
      <c r="A74" s="4" t="s">
        <v>2350</v>
      </c>
      <c r="B74" s="4" t="s">
        <v>499</v>
      </c>
      <c r="C74" s="4" t="s">
        <v>2220</v>
      </c>
      <c r="D74" s="5">
        <v>42962.549999999996</v>
      </c>
      <c r="E74" s="4" t="s">
        <v>2221</v>
      </c>
      <c r="F74" s="4" t="s">
        <v>2222</v>
      </c>
      <c r="G74" s="4" t="s">
        <v>2234</v>
      </c>
      <c r="H74" s="4" t="s">
        <v>1187</v>
      </c>
      <c r="I74" s="4" t="s">
        <v>1729</v>
      </c>
      <c r="J74" s="4" t="s">
        <v>1152</v>
      </c>
      <c r="K74" s="5">
        <v>34477</v>
      </c>
      <c r="L74" s="4" t="s">
        <v>2351</v>
      </c>
      <c r="M74" s="4" t="s">
        <v>9</v>
      </c>
      <c r="N74" s="5">
        <v>41963</v>
      </c>
      <c r="O74" s="5" t="s">
        <v>2224</v>
      </c>
      <c r="P74" s="4" t="s">
        <v>2224</v>
      </c>
      <c r="Q74" s="4" t="s">
        <v>2352</v>
      </c>
      <c r="R74" s="4" t="s">
        <v>2226</v>
      </c>
      <c r="S74" s="4" t="s">
        <v>2227</v>
      </c>
      <c r="T74" s="4" t="s">
        <v>2228</v>
      </c>
      <c r="U74" s="4" t="s">
        <v>2237</v>
      </c>
      <c r="V74" s="4" t="s">
        <v>8</v>
      </c>
      <c r="W74" s="4" t="s">
        <v>2278</v>
      </c>
      <c r="X74" s="4" t="s">
        <v>2224</v>
      </c>
      <c r="Y74" s="4" t="s">
        <v>2239</v>
      </c>
      <c r="Z74" s="6">
        <v>16282.77</v>
      </c>
      <c r="AA74" s="6">
        <v>195393.24</v>
      </c>
      <c r="AB74" s="4" t="s">
        <v>2232</v>
      </c>
      <c r="AC74" s="7" t="s">
        <v>2224</v>
      </c>
    </row>
    <row r="75" spans="1:29" ht="15" customHeight="1" collapsed="1" thickBot="1" x14ac:dyDescent="0.3">
      <c r="A75" s="20" t="str">
        <f>CONCATENATE("117"," - ","MR", " ","Marc"," ", "De Klerk")</f>
        <v>117 - MR Marc De Klerk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2"/>
    </row>
    <row r="76" spans="1:29" ht="15" hidden="1" customHeight="1" outlineLevel="1" thickBot="1" x14ac:dyDescent="0.3">
      <c r="A76" s="4" t="s">
        <v>2353</v>
      </c>
      <c r="B76" s="4" t="s">
        <v>200</v>
      </c>
      <c r="C76" s="4" t="s">
        <v>2220</v>
      </c>
      <c r="D76" s="5">
        <v>42962.531944444439</v>
      </c>
      <c r="E76" s="4" t="s">
        <v>2221</v>
      </c>
      <c r="F76" s="4" t="s">
        <v>2222</v>
      </c>
      <c r="G76" s="4" t="s">
        <v>2014</v>
      </c>
      <c r="H76" s="4" t="s">
        <v>788</v>
      </c>
      <c r="I76" s="4" t="s">
        <v>1153</v>
      </c>
      <c r="J76" s="4" t="s">
        <v>1152</v>
      </c>
      <c r="K76" s="5">
        <v>29675</v>
      </c>
      <c r="L76" s="4" t="s">
        <v>2354</v>
      </c>
      <c r="M76" s="4" t="s">
        <v>9</v>
      </c>
      <c r="N76" s="5">
        <v>39569</v>
      </c>
      <c r="O76" s="5" t="s">
        <v>2224</v>
      </c>
      <c r="P76" s="4" t="s">
        <v>2224</v>
      </c>
      <c r="Q76" s="4" t="s">
        <v>2355</v>
      </c>
      <c r="R76" s="4" t="s">
        <v>2226</v>
      </c>
      <c r="S76" s="4" t="s">
        <v>2227</v>
      </c>
      <c r="T76" s="4" t="s">
        <v>2228</v>
      </c>
      <c r="U76" s="4" t="s">
        <v>2258</v>
      </c>
      <c r="V76" s="4" t="s">
        <v>13</v>
      </c>
      <c r="W76" s="4" t="s">
        <v>2249</v>
      </c>
      <c r="X76" s="4" t="s">
        <v>2224</v>
      </c>
      <c r="Y76" s="4" t="s">
        <v>2259</v>
      </c>
      <c r="Z76" s="6">
        <v>121222.6128</v>
      </c>
      <c r="AA76" s="6">
        <v>1454671.35</v>
      </c>
      <c r="AB76" s="4" t="s">
        <v>2232</v>
      </c>
      <c r="AC76" s="7" t="s">
        <v>2224</v>
      </c>
    </row>
    <row r="77" spans="1:29" ht="15" customHeight="1" collapsed="1" thickBot="1" x14ac:dyDescent="0.3">
      <c r="A77" s="20" t="str">
        <f>CONCATENATE("119"," - ","MR", " ","Jean-Pierre"," ", "De Villiers")</f>
        <v>119 - MR Jean-Pierre De Villiers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2"/>
    </row>
    <row r="78" spans="1:29" ht="15" hidden="1" customHeight="1" outlineLevel="1" thickBot="1" x14ac:dyDescent="0.3">
      <c r="A78" s="4" t="s">
        <v>2356</v>
      </c>
      <c r="B78" s="4" t="s">
        <v>79</v>
      </c>
      <c r="C78" s="4" t="s">
        <v>2220</v>
      </c>
      <c r="D78" s="5">
        <v>42962.463194444441</v>
      </c>
      <c r="E78" s="4" t="s">
        <v>2221</v>
      </c>
      <c r="F78" s="4" t="s">
        <v>2222</v>
      </c>
      <c r="G78" s="4" t="s">
        <v>2014</v>
      </c>
      <c r="H78" s="4" t="s">
        <v>915</v>
      </c>
      <c r="I78" s="4" t="s">
        <v>917</v>
      </c>
      <c r="J78" s="4" t="s">
        <v>916</v>
      </c>
      <c r="K78" s="5">
        <v>31232</v>
      </c>
      <c r="L78" s="4" t="s">
        <v>2357</v>
      </c>
      <c r="M78" s="4" t="s">
        <v>9</v>
      </c>
      <c r="N78" s="5">
        <v>39020</v>
      </c>
      <c r="O78" s="5" t="s">
        <v>2224</v>
      </c>
      <c r="P78" s="4" t="s">
        <v>2224</v>
      </c>
      <c r="Q78" s="4" t="s">
        <v>2358</v>
      </c>
      <c r="R78" s="4" t="s">
        <v>2226</v>
      </c>
      <c r="S78" s="4" t="s">
        <v>2227</v>
      </c>
      <c r="T78" s="4" t="s">
        <v>2228</v>
      </c>
      <c r="U78" s="4" t="s">
        <v>2229</v>
      </c>
      <c r="V78" s="4" t="s">
        <v>80</v>
      </c>
      <c r="W78" s="4" t="s">
        <v>2249</v>
      </c>
      <c r="X78" s="4" t="s">
        <v>2224</v>
      </c>
      <c r="Y78" s="4" t="s">
        <v>2290</v>
      </c>
      <c r="Z78" s="6">
        <v>47646</v>
      </c>
      <c r="AA78" s="6">
        <v>571752</v>
      </c>
      <c r="AB78" s="4" t="s">
        <v>2232</v>
      </c>
      <c r="AC78" s="7" t="s">
        <v>2224</v>
      </c>
    </row>
    <row r="79" spans="1:29" ht="15" customHeight="1" collapsed="1" thickBot="1" x14ac:dyDescent="0.3">
      <c r="A79" s="20" t="str">
        <f>CONCATENATE("120"," - ","MR", " ","Derek"," ", "De Vries")</f>
        <v>120 - MR Derek De Vries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2"/>
    </row>
    <row r="80" spans="1:29" ht="15" hidden="1" customHeight="1" outlineLevel="1" thickBot="1" x14ac:dyDescent="0.3">
      <c r="A80" s="4" t="s">
        <v>2359</v>
      </c>
      <c r="B80" s="4" t="s">
        <v>214</v>
      </c>
      <c r="C80" s="4" t="s">
        <v>2220</v>
      </c>
      <c r="D80" s="5">
        <v>42963.280555555553</v>
      </c>
      <c r="E80" s="4" t="s">
        <v>2221</v>
      </c>
      <c r="F80" s="4" t="s">
        <v>2222</v>
      </c>
      <c r="G80" s="4" t="s">
        <v>2014</v>
      </c>
      <c r="H80" s="4" t="s">
        <v>1187</v>
      </c>
      <c r="I80" s="4" t="s">
        <v>1188</v>
      </c>
      <c r="J80" s="4" t="s">
        <v>1186</v>
      </c>
      <c r="K80" s="5">
        <v>28304</v>
      </c>
      <c r="L80" s="4" t="s">
        <v>2360</v>
      </c>
      <c r="M80" s="4" t="s">
        <v>9</v>
      </c>
      <c r="N80" s="5">
        <v>40082</v>
      </c>
      <c r="O80" s="5" t="s">
        <v>2224</v>
      </c>
      <c r="P80" s="4" t="s">
        <v>2224</v>
      </c>
      <c r="Q80" s="4" t="s">
        <v>2361</v>
      </c>
      <c r="R80" s="4" t="s">
        <v>2226</v>
      </c>
      <c r="S80" s="4" t="s">
        <v>2227</v>
      </c>
      <c r="T80" s="4" t="s">
        <v>2228</v>
      </c>
      <c r="U80" s="4" t="s">
        <v>2258</v>
      </c>
      <c r="V80" s="4" t="s">
        <v>13</v>
      </c>
      <c r="W80" s="4" t="s">
        <v>2249</v>
      </c>
      <c r="X80" s="4" t="s">
        <v>2224</v>
      </c>
      <c r="Y80" s="4" t="s">
        <v>2259</v>
      </c>
      <c r="Z80" s="6">
        <v>118845.6948</v>
      </c>
      <c r="AA80" s="6">
        <v>1426148.34</v>
      </c>
      <c r="AB80" s="4" t="s">
        <v>2232</v>
      </c>
      <c r="AC80" s="7" t="s">
        <v>2224</v>
      </c>
    </row>
    <row r="81" spans="1:29" ht="15" customHeight="1" collapsed="1" thickBot="1" x14ac:dyDescent="0.3">
      <c r="A81" s="20" t="str">
        <f>CONCATENATE("121"," - ","MISS", " ","Alleresha"," ", "Deschamps")</f>
        <v>121 - MISS Alleresha Deschamps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2"/>
    </row>
    <row r="82" spans="1:29" ht="15" hidden="1" customHeight="1" outlineLevel="1" thickBot="1" x14ac:dyDescent="0.3">
      <c r="A82" s="4" t="s">
        <v>2362</v>
      </c>
      <c r="B82" s="4" t="s">
        <v>380</v>
      </c>
      <c r="C82" s="4" t="s">
        <v>2220</v>
      </c>
      <c r="D82" s="5">
        <v>42962.539583333331</v>
      </c>
      <c r="E82" s="4" t="s">
        <v>2221</v>
      </c>
      <c r="F82" s="4" t="s">
        <v>2222</v>
      </c>
      <c r="G82" s="4" t="s">
        <v>2234</v>
      </c>
      <c r="H82" s="4" t="s">
        <v>742</v>
      </c>
      <c r="I82" s="4" t="s">
        <v>1491</v>
      </c>
      <c r="J82" s="4" t="s">
        <v>1490</v>
      </c>
      <c r="K82" s="5">
        <v>33879</v>
      </c>
      <c r="L82" s="4" t="s">
        <v>2363</v>
      </c>
      <c r="M82" s="4" t="s">
        <v>9</v>
      </c>
      <c r="N82" s="5">
        <v>41456</v>
      </c>
      <c r="O82" s="5" t="s">
        <v>2224</v>
      </c>
      <c r="P82" s="4" t="s">
        <v>2224</v>
      </c>
      <c r="Q82" s="4" t="s">
        <v>2364</v>
      </c>
      <c r="R82" s="4" t="s">
        <v>2226</v>
      </c>
      <c r="S82" s="4" t="s">
        <v>2227</v>
      </c>
      <c r="T82" s="4" t="s">
        <v>2228</v>
      </c>
      <c r="U82" s="4" t="s">
        <v>2237</v>
      </c>
      <c r="V82" s="4" t="s">
        <v>8</v>
      </c>
      <c r="W82" s="4" t="s">
        <v>2278</v>
      </c>
      <c r="X82" s="4" t="s">
        <v>2224</v>
      </c>
      <c r="Y82" s="4" t="s">
        <v>2239</v>
      </c>
      <c r="Z82" s="6">
        <v>16692.34</v>
      </c>
      <c r="AA82" s="6">
        <v>200308.08</v>
      </c>
      <c r="AB82" s="4" t="s">
        <v>2232</v>
      </c>
      <c r="AC82" s="7" t="s">
        <v>2224</v>
      </c>
    </row>
    <row r="83" spans="1:29" ht="15" customHeight="1" collapsed="1" thickBot="1" x14ac:dyDescent="0.3">
      <c r="A83" s="20" t="str">
        <f>CONCATENATE("122"," - ","MISS", " ","SHABNAM"," ", "Dhansay")</f>
        <v>122 - MISS SHABNAM Dhansay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2"/>
    </row>
    <row r="84" spans="1:29" ht="15" hidden="1" customHeight="1" outlineLevel="1" thickBot="1" x14ac:dyDescent="0.3">
      <c r="A84" s="4" t="s">
        <v>2365</v>
      </c>
      <c r="B84" s="4" t="s">
        <v>149</v>
      </c>
      <c r="C84" s="4" t="s">
        <v>2220</v>
      </c>
      <c r="D84" s="5">
        <v>42962.461805555555</v>
      </c>
      <c r="E84" s="4" t="s">
        <v>2221</v>
      </c>
      <c r="F84" s="4" t="s">
        <v>2222</v>
      </c>
      <c r="G84" s="4" t="s">
        <v>2234</v>
      </c>
      <c r="H84" s="4" t="s">
        <v>800</v>
      </c>
      <c r="I84" s="4" t="s">
        <v>1054</v>
      </c>
      <c r="J84" s="4" t="s">
        <v>1053</v>
      </c>
      <c r="K84" s="5">
        <v>30272</v>
      </c>
      <c r="L84" s="4" t="s">
        <v>2366</v>
      </c>
      <c r="M84" s="4" t="s">
        <v>9</v>
      </c>
      <c r="N84" s="5">
        <v>39387</v>
      </c>
      <c r="O84" s="5" t="s">
        <v>2224</v>
      </c>
      <c r="P84" s="4" t="s">
        <v>2224</v>
      </c>
      <c r="Q84" s="4" t="s">
        <v>2367</v>
      </c>
      <c r="R84" s="4" t="s">
        <v>2226</v>
      </c>
      <c r="S84" s="4" t="s">
        <v>2227</v>
      </c>
      <c r="T84" s="4" t="s">
        <v>2228</v>
      </c>
      <c r="U84" s="4" t="s">
        <v>2229</v>
      </c>
      <c r="V84" s="4" t="s">
        <v>17</v>
      </c>
      <c r="W84" s="4" t="s">
        <v>2230</v>
      </c>
      <c r="X84" s="4" t="s">
        <v>2224</v>
      </c>
      <c r="Y84" s="4" t="s">
        <v>2231</v>
      </c>
      <c r="Z84" s="6">
        <v>19891.599999999999</v>
      </c>
      <c r="AA84" s="6">
        <v>238699.2</v>
      </c>
      <c r="AB84" s="4" t="s">
        <v>2232</v>
      </c>
      <c r="AC84" s="7" t="s">
        <v>2224</v>
      </c>
    </row>
    <row r="85" spans="1:29" ht="15" customHeight="1" collapsed="1" thickBot="1" x14ac:dyDescent="0.3">
      <c r="A85" s="20" t="str">
        <f>CONCATENATE("123"," - ","MR", " ","Ntombikayise"," ", "Dhlamini")</f>
        <v>123 - MR Ntombikayise Dhlamini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2"/>
    </row>
    <row r="86" spans="1:29" ht="15" hidden="1" customHeight="1" outlineLevel="1" thickBot="1" x14ac:dyDescent="0.3">
      <c r="A86" s="4" t="s">
        <v>2368</v>
      </c>
      <c r="B86" s="4" t="s">
        <v>461</v>
      </c>
      <c r="C86" s="4" t="s">
        <v>2220</v>
      </c>
      <c r="D86" s="5">
        <v>42962.549999999996</v>
      </c>
      <c r="E86" s="4" t="s">
        <v>2221</v>
      </c>
      <c r="F86" s="4" t="s">
        <v>2222</v>
      </c>
      <c r="G86" s="4" t="s">
        <v>2014</v>
      </c>
      <c r="H86" s="4" t="s">
        <v>797</v>
      </c>
      <c r="I86" s="4" t="s">
        <v>1657</v>
      </c>
      <c r="J86" s="4" t="s">
        <v>1656</v>
      </c>
      <c r="K86" s="5">
        <v>33369</v>
      </c>
      <c r="L86" s="4" t="s">
        <v>2369</v>
      </c>
      <c r="M86" s="4" t="s">
        <v>9</v>
      </c>
      <c r="N86" s="5">
        <v>41758</v>
      </c>
      <c r="O86" s="5" t="s">
        <v>2224</v>
      </c>
      <c r="P86" s="4" t="s">
        <v>2224</v>
      </c>
      <c r="Q86" s="4" t="s">
        <v>2370</v>
      </c>
      <c r="R86" s="4" t="s">
        <v>2226</v>
      </c>
      <c r="S86" s="4" t="s">
        <v>2227</v>
      </c>
      <c r="T86" s="4" t="s">
        <v>2228</v>
      </c>
      <c r="U86" s="4" t="s">
        <v>2237</v>
      </c>
      <c r="V86" s="4" t="s">
        <v>8</v>
      </c>
      <c r="W86" s="4" t="s">
        <v>2278</v>
      </c>
      <c r="X86" s="4" t="s">
        <v>2224</v>
      </c>
      <c r="Y86" s="4" t="s">
        <v>2239</v>
      </c>
      <c r="Z86" s="6">
        <v>16486.259999999998</v>
      </c>
      <c r="AA86" s="6">
        <v>197835.12</v>
      </c>
      <c r="AB86" s="4" t="s">
        <v>2232</v>
      </c>
      <c r="AC86" s="7" t="s">
        <v>2224</v>
      </c>
    </row>
    <row r="87" spans="1:29" ht="15" customHeight="1" collapsed="1" thickBot="1" x14ac:dyDescent="0.3">
      <c r="A87" s="20" t="str">
        <f>CONCATENATE("124"," - ","MR", " ","Henriette"," ", "Dickson")</f>
        <v>124 - MR Henriette Dickson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2"/>
    </row>
    <row r="88" spans="1:29" ht="15" hidden="1" customHeight="1" outlineLevel="1" thickBot="1" x14ac:dyDescent="0.3">
      <c r="A88" s="4" t="s">
        <v>2371</v>
      </c>
      <c r="B88" s="4" t="s">
        <v>466</v>
      </c>
      <c r="C88" s="4" t="s">
        <v>2220</v>
      </c>
      <c r="D88" s="5">
        <v>42962.549999999996</v>
      </c>
      <c r="E88" s="4" t="s">
        <v>2221</v>
      </c>
      <c r="F88" s="4" t="s">
        <v>2222</v>
      </c>
      <c r="G88" s="4" t="s">
        <v>2014</v>
      </c>
      <c r="H88" s="4" t="s">
        <v>832</v>
      </c>
      <c r="I88" s="4" t="s">
        <v>1669</v>
      </c>
      <c r="J88" s="4" t="s">
        <v>1668</v>
      </c>
      <c r="K88" s="5">
        <v>33376</v>
      </c>
      <c r="L88" s="4" t="s">
        <v>2372</v>
      </c>
      <c r="M88" s="4" t="s">
        <v>9</v>
      </c>
      <c r="N88" s="5">
        <v>41758</v>
      </c>
      <c r="O88" s="5" t="s">
        <v>2224</v>
      </c>
      <c r="P88" s="4" t="s">
        <v>2224</v>
      </c>
      <c r="Q88" s="4" t="s">
        <v>2373</v>
      </c>
      <c r="R88" s="4" t="s">
        <v>2226</v>
      </c>
      <c r="S88" s="4" t="s">
        <v>2227</v>
      </c>
      <c r="T88" s="4" t="s">
        <v>2228</v>
      </c>
      <c r="U88" s="4" t="s">
        <v>2237</v>
      </c>
      <c r="V88" s="4" t="s">
        <v>125</v>
      </c>
      <c r="W88" s="4" t="s">
        <v>2230</v>
      </c>
      <c r="X88" s="4" t="s">
        <v>2224</v>
      </c>
      <c r="Y88" s="4" t="s">
        <v>2239</v>
      </c>
      <c r="Z88" s="6">
        <v>20140.25</v>
      </c>
      <c r="AA88" s="6">
        <v>241683</v>
      </c>
      <c r="AB88" s="4" t="s">
        <v>2232</v>
      </c>
      <c r="AC88" s="7" t="s">
        <v>2224</v>
      </c>
    </row>
    <row r="89" spans="1:29" ht="15" customHeight="1" collapsed="1" thickBot="1" x14ac:dyDescent="0.3">
      <c r="A89" s="20" t="str">
        <f>CONCATENATE("125"," - ","MISS", " ","Chantalle"," ", "Diedericks")</f>
        <v>125 - MISS Chantalle Diedericks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2"/>
    </row>
    <row r="90" spans="1:29" ht="15" hidden="1" customHeight="1" outlineLevel="1" thickBot="1" x14ac:dyDescent="0.3">
      <c r="A90" s="4" t="s">
        <v>2374</v>
      </c>
      <c r="B90" s="4" t="s">
        <v>431</v>
      </c>
      <c r="C90" s="4" t="s">
        <v>2220</v>
      </c>
      <c r="D90" s="5">
        <v>42962.549999999996</v>
      </c>
      <c r="E90" s="4" t="s">
        <v>2221</v>
      </c>
      <c r="F90" s="4" t="s">
        <v>2222</v>
      </c>
      <c r="G90" s="4" t="s">
        <v>2234</v>
      </c>
      <c r="H90" s="4" t="s">
        <v>743</v>
      </c>
      <c r="I90" s="4" t="s">
        <v>1591</v>
      </c>
      <c r="J90" s="4" t="s">
        <v>1590</v>
      </c>
      <c r="K90" s="5">
        <v>33918</v>
      </c>
      <c r="L90" s="4" t="s">
        <v>2375</v>
      </c>
      <c r="M90" s="4" t="s">
        <v>9</v>
      </c>
      <c r="N90" s="5">
        <v>41582</v>
      </c>
      <c r="O90" s="5" t="s">
        <v>2224</v>
      </c>
      <c r="P90" s="4" t="s">
        <v>2224</v>
      </c>
      <c r="Q90" s="4" t="s">
        <v>2376</v>
      </c>
      <c r="R90" s="4" t="s">
        <v>2226</v>
      </c>
      <c r="S90" s="4" t="s">
        <v>2227</v>
      </c>
      <c r="T90" s="4" t="s">
        <v>2228</v>
      </c>
      <c r="U90" s="4" t="s">
        <v>2237</v>
      </c>
      <c r="V90" s="4" t="s">
        <v>125</v>
      </c>
      <c r="W90" s="4" t="s">
        <v>2230</v>
      </c>
      <c r="X90" s="4" t="s">
        <v>2224</v>
      </c>
      <c r="Y90" s="4" t="s">
        <v>2239</v>
      </c>
      <c r="Z90" s="6">
        <v>20904</v>
      </c>
      <c r="AA90" s="6">
        <v>250848</v>
      </c>
      <c r="AB90" s="4" t="s">
        <v>2232</v>
      </c>
      <c r="AC90" s="7" t="s">
        <v>2224</v>
      </c>
    </row>
    <row r="91" spans="1:29" ht="15" customHeight="1" collapsed="1" thickBot="1" x14ac:dyDescent="0.3">
      <c r="A91" s="20" t="str">
        <f>CONCATENATE("126"," - ","MR", " ","Kurt"," ", "Diedericks")</f>
        <v>126 - MR Kurt Diedericks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2"/>
    </row>
    <row r="92" spans="1:29" ht="15" hidden="1" customHeight="1" outlineLevel="1" thickBot="1" x14ac:dyDescent="0.3">
      <c r="A92" s="4" t="s">
        <v>2377</v>
      </c>
      <c r="B92" s="4" t="s">
        <v>609</v>
      </c>
      <c r="C92" s="4" t="s">
        <v>2220</v>
      </c>
      <c r="D92" s="5">
        <v>42962.461111111108</v>
      </c>
      <c r="E92" s="4" t="s">
        <v>2221</v>
      </c>
      <c r="F92" s="4" t="s">
        <v>2222</v>
      </c>
      <c r="G92" s="4" t="s">
        <v>2014</v>
      </c>
      <c r="H92" s="4" t="s">
        <v>1120</v>
      </c>
      <c r="I92" s="4" t="s">
        <v>1922</v>
      </c>
      <c r="J92" s="4" t="s">
        <v>1590</v>
      </c>
      <c r="K92" s="5">
        <v>26816</v>
      </c>
      <c r="L92" s="4" t="s">
        <v>2378</v>
      </c>
      <c r="M92" s="4" t="s">
        <v>9</v>
      </c>
      <c r="N92" s="5">
        <v>39321</v>
      </c>
      <c r="O92" s="5" t="s">
        <v>2224</v>
      </c>
      <c r="P92" s="4" t="s">
        <v>2224</v>
      </c>
      <c r="Q92" s="4" t="s">
        <v>2379</v>
      </c>
      <c r="R92" s="4" t="s">
        <v>2226</v>
      </c>
      <c r="S92" s="4" t="s">
        <v>2227</v>
      </c>
      <c r="T92" s="4" t="s">
        <v>2228</v>
      </c>
      <c r="U92" s="4" t="s">
        <v>2229</v>
      </c>
      <c r="V92" s="4" t="s">
        <v>25</v>
      </c>
      <c r="W92" s="4" t="s">
        <v>2278</v>
      </c>
      <c r="X92" s="4" t="s">
        <v>2224</v>
      </c>
      <c r="Y92" s="4" t="s">
        <v>2380</v>
      </c>
      <c r="Z92" s="6">
        <v>16033.514300000001</v>
      </c>
      <c r="AA92" s="6">
        <v>192402.17</v>
      </c>
      <c r="AB92" s="4" t="s">
        <v>2232</v>
      </c>
      <c r="AC92" s="7" t="s">
        <v>2224</v>
      </c>
    </row>
    <row r="93" spans="1:29" ht="15" customHeight="1" collapsed="1" thickBot="1" x14ac:dyDescent="0.3">
      <c r="A93" s="20" t="str">
        <f>CONCATENATE("127"," - ","MISS", " ","Disego"," ", "Dikgale")</f>
        <v>127 - MISS Disego Dikgale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2"/>
    </row>
    <row r="94" spans="1:29" ht="15" hidden="1" customHeight="1" outlineLevel="1" thickBot="1" x14ac:dyDescent="0.3">
      <c r="A94" s="4" t="s">
        <v>2381</v>
      </c>
      <c r="B94" s="4" t="s">
        <v>564</v>
      </c>
      <c r="C94" s="4" t="s">
        <v>2220</v>
      </c>
      <c r="D94" s="5">
        <v>42962.461805555555</v>
      </c>
      <c r="E94" s="4" t="s">
        <v>2221</v>
      </c>
      <c r="F94" s="4" t="s">
        <v>2222</v>
      </c>
      <c r="G94" s="4" t="s">
        <v>2234</v>
      </c>
      <c r="H94" s="4" t="s">
        <v>1739</v>
      </c>
      <c r="I94" s="4" t="s">
        <v>1848</v>
      </c>
      <c r="J94" s="4" t="s">
        <v>1847</v>
      </c>
      <c r="K94" s="5">
        <v>26696</v>
      </c>
      <c r="L94" s="4" t="s">
        <v>2382</v>
      </c>
      <c r="M94" s="4" t="s">
        <v>9</v>
      </c>
      <c r="N94" s="5">
        <v>42128</v>
      </c>
      <c r="O94" s="5" t="s">
        <v>2224</v>
      </c>
      <c r="P94" s="4" t="s">
        <v>2224</v>
      </c>
      <c r="Q94" s="4" t="s">
        <v>2383</v>
      </c>
      <c r="R94" s="4" t="s">
        <v>2226</v>
      </c>
      <c r="S94" s="4" t="s">
        <v>2227</v>
      </c>
      <c r="T94" s="4" t="s">
        <v>2228</v>
      </c>
      <c r="U94" s="4" t="s">
        <v>2229</v>
      </c>
      <c r="V94" s="4" t="s">
        <v>25</v>
      </c>
      <c r="W94" s="4" t="s">
        <v>2278</v>
      </c>
      <c r="X94" s="4" t="s">
        <v>2224</v>
      </c>
      <c r="Y94" s="4" t="s">
        <v>2384</v>
      </c>
      <c r="Z94" s="6">
        <v>10844.03</v>
      </c>
      <c r="AA94" s="6">
        <v>130128.36</v>
      </c>
      <c r="AB94" s="4" t="s">
        <v>2232</v>
      </c>
      <c r="AC94" s="7" t="s">
        <v>2224</v>
      </c>
    </row>
    <row r="95" spans="1:29" ht="15" customHeight="1" collapsed="1" thickBot="1" x14ac:dyDescent="0.3">
      <c r="A95" s="20" t="str">
        <f>CONCATENATE("128"," - ","MISS", " ","Mahlodi"," ", "Ditsepu")</f>
        <v>128 - MISS Mahlodi Ditsepu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2"/>
    </row>
    <row r="96" spans="1:29" ht="15" hidden="1" customHeight="1" outlineLevel="1" thickBot="1" x14ac:dyDescent="0.3">
      <c r="A96" s="4" t="s">
        <v>2385</v>
      </c>
      <c r="B96" s="4" t="s">
        <v>103</v>
      </c>
      <c r="C96" s="4" t="s">
        <v>2220</v>
      </c>
      <c r="D96" s="5">
        <v>42961.338888888888</v>
      </c>
      <c r="E96" s="4" t="s">
        <v>2221</v>
      </c>
      <c r="F96" s="4" t="s">
        <v>2222</v>
      </c>
      <c r="G96" s="4" t="s">
        <v>2234</v>
      </c>
      <c r="H96" s="4" t="s">
        <v>969</v>
      </c>
      <c r="I96" s="4" t="s">
        <v>970</v>
      </c>
      <c r="J96" s="4" t="s">
        <v>968</v>
      </c>
      <c r="K96" s="5">
        <v>29921</v>
      </c>
      <c r="L96" s="4" t="s">
        <v>2386</v>
      </c>
      <c r="M96" s="4" t="s">
        <v>9</v>
      </c>
      <c r="N96" s="5">
        <v>39022</v>
      </c>
      <c r="O96" s="5" t="s">
        <v>2224</v>
      </c>
      <c r="P96" s="4" t="s">
        <v>2224</v>
      </c>
      <c r="Q96" s="4" t="s">
        <v>2387</v>
      </c>
      <c r="R96" s="4" t="s">
        <v>2226</v>
      </c>
      <c r="S96" s="4" t="s">
        <v>2227</v>
      </c>
      <c r="T96" s="4" t="s">
        <v>2228</v>
      </c>
      <c r="U96" s="4" t="s">
        <v>2229</v>
      </c>
      <c r="V96" s="4" t="s">
        <v>25</v>
      </c>
      <c r="W96" s="4" t="s">
        <v>2278</v>
      </c>
      <c r="X96" s="4" t="s">
        <v>2224</v>
      </c>
      <c r="Y96" s="4" t="s">
        <v>2384</v>
      </c>
      <c r="Z96" s="6">
        <v>17112.25</v>
      </c>
      <c r="AA96" s="6">
        <v>205347</v>
      </c>
      <c r="AB96" s="4" t="s">
        <v>2232</v>
      </c>
      <c r="AC96" s="7" t="s">
        <v>2224</v>
      </c>
    </row>
    <row r="97" spans="1:29" ht="15" customHeight="1" collapsed="1" thickBot="1" x14ac:dyDescent="0.3">
      <c r="A97" s="20" t="str">
        <f>CONCATENATE("129"," - ","MISS", " ","Renee"," ", "Dixon")</f>
        <v>129 - MISS Renee Dixon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2"/>
    </row>
    <row r="98" spans="1:29" ht="15" hidden="1" customHeight="1" outlineLevel="1" thickBot="1" x14ac:dyDescent="0.3">
      <c r="A98" s="4" t="s">
        <v>2388</v>
      </c>
      <c r="B98" s="4" t="s">
        <v>481</v>
      </c>
      <c r="C98" s="4" t="s">
        <v>2220</v>
      </c>
      <c r="D98" s="5">
        <v>42962.461111111108</v>
      </c>
      <c r="E98" s="4" t="s">
        <v>2221</v>
      </c>
      <c r="F98" s="4" t="s">
        <v>2222</v>
      </c>
      <c r="G98" s="4" t="s">
        <v>2234</v>
      </c>
      <c r="H98" s="4" t="s">
        <v>844</v>
      </c>
      <c r="I98" s="4" t="s">
        <v>1695</v>
      </c>
      <c r="J98" s="4" t="s">
        <v>1694</v>
      </c>
      <c r="K98" s="5">
        <v>31455</v>
      </c>
      <c r="L98" s="4" t="s">
        <v>2389</v>
      </c>
      <c r="M98" s="4" t="s">
        <v>9</v>
      </c>
      <c r="N98" s="5">
        <v>41913</v>
      </c>
      <c r="O98" s="5" t="s">
        <v>2224</v>
      </c>
      <c r="P98" s="4" t="s">
        <v>2224</v>
      </c>
      <c r="Q98" s="4" t="s">
        <v>2390</v>
      </c>
      <c r="R98" s="4" t="s">
        <v>2226</v>
      </c>
      <c r="S98" s="4" t="s">
        <v>2227</v>
      </c>
      <c r="T98" s="4" t="s">
        <v>2228</v>
      </c>
      <c r="U98" s="4" t="s">
        <v>2229</v>
      </c>
      <c r="V98" s="4" t="s">
        <v>25</v>
      </c>
      <c r="W98" s="4" t="s">
        <v>2278</v>
      </c>
      <c r="X98" s="4" t="s">
        <v>2224</v>
      </c>
      <c r="Y98" s="4" t="s">
        <v>2380</v>
      </c>
      <c r="Z98" s="6">
        <v>10844.03</v>
      </c>
      <c r="AA98" s="6">
        <v>130128.36</v>
      </c>
      <c r="AB98" s="4" t="s">
        <v>2232</v>
      </c>
      <c r="AC98" s="7" t="s">
        <v>2224</v>
      </c>
    </row>
    <row r="99" spans="1:29" ht="15" customHeight="1" collapsed="1" thickBot="1" x14ac:dyDescent="0.3">
      <c r="A99" s="20" t="str">
        <f>CONCATENATE("130"," - ","MISS", " ","Princess"," ", "Dladla")</f>
        <v>130 - MISS Princess Dladla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2"/>
    </row>
    <row r="100" spans="1:29" ht="15" hidden="1" customHeight="1" outlineLevel="1" thickBot="1" x14ac:dyDescent="0.3">
      <c r="A100" s="4" t="s">
        <v>2391</v>
      </c>
      <c r="B100" s="4" t="s">
        <v>259</v>
      </c>
      <c r="C100" s="4" t="s">
        <v>2220</v>
      </c>
      <c r="D100" s="5">
        <v>42962.461111111108</v>
      </c>
      <c r="E100" s="4" t="s">
        <v>2221</v>
      </c>
      <c r="F100" s="4" t="s">
        <v>2222</v>
      </c>
      <c r="G100" s="4" t="s">
        <v>2234</v>
      </c>
      <c r="H100" s="4" t="s">
        <v>1274</v>
      </c>
      <c r="I100" s="4" t="s">
        <v>1275</v>
      </c>
      <c r="J100" s="4" t="s">
        <v>1273</v>
      </c>
      <c r="K100" s="5">
        <v>28280</v>
      </c>
      <c r="L100" s="4" t="s">
        <v>2392</v>
      </c>
      <c r="M100" s="4" t="s">
        <v>9</v>
      </c>
      <c r="N100" s="5">
        <v>40603</v>
      </c>
      <c r="O100" s="5" t="s">
        <v>2224</v>
      </c>
      <c r="P100" s="4" t="s">
        <v>2224</v>
      </c>
      <c r="Q100" s="4" t="s">
        <v>2393</v>
      </c>
      <c r="R100" s="4" t="s">
        <v>2226</v>
      </c>
      <c r="S100" s="4" t="s">
        <v>2227</v>
      </c>
      <c r="T100" s="4" t="s">
        <v>2228</v>
      </c>
      <c r="U100" s="4" t="s">
        <v>2229</v>
      </c>
      <c r="V100" s="4" t="s">
        <v>25</v>
      </c>
      <c r="W100" s="4" t="s">
        <v>2278</v>
      </c>
      <c r="X100" s="4" t="s">
        <v>2224</v>
      </c>
      <c r="Y100" s="4" t="s">
        <v>2394</v>
      </c>
      <c r="Z100" s="6">
        <v>16900.989099999999</v>
      </c>
      <c r="AA100" s="6">
        <v>202811.87</v>
      </c>
      <c r="AB100" s="4" t="s">
        <v>2232</v>
      </c>
      <c r="AC100" s="7" t="s">
        <v>2224</v>
      </c>
    </row>
    <row r="101" spans="1:29" ht="15" customHeight="1" collapsed="1" thickBot="1" x14ac:dyDescent="0.3">
      <c r="A101" s="20" t="str">
        <f>CONCATENATE("131"," - ","MS", " ","Nomfanelo"," ", "Dlali")</f>
        <v>131 - MS Nomfanelo Dlali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2"/>
    </row>
    <row r="102" spans="1:29" ht="15" hidden="1" customHeight="1" outlineLevel="1" thickBot="1" x14ac:dyDescent="0.3">
      <c r="A102" s="4" t="s">
        <v>2395</v>
      </c>
      <c r="B102" s="4" t="s">
        <v>599</v>
      </c>
      <c r="C102" s="4" t="s">
        <v>2220</v>
      </c>
      <c r="D102" s="5">
        <v>42962.463194444441</v>
      </c>
      <c r="E102" s="4" t="s">
        <v>2221</v>
      </c>
      <c r="F102" s="4" t="s">
        <v>2222</v>
      </c>
      <c r="G102" s="4" t="s">
        <v>813</v>
      </c>
      <c r="H102" s="4" t="s">
        <v>797</v>
      </c>
      <c r="I102" s="4" t="s">
        <v>1907</v>
      </c>
      <c r="J102" s="4" t="s">
        <v>1906</v>
      </c>
      <c r="K102" s="5">
        <v>20740</v>
      </c>
      <c r="L102" s="4" t="s">
        <v>2396</v>
      </c>
      <c r="M102" s="4" t="s">
        <v>9</v>
      </c>
      <c r="N102" s="5">
        <v>42188</v>
      </c>
      <c r="O102" s="5" t="s">
        <v>2224</v>
      </c>
      <c r="P102" s="4" t="s">
        <v>2224</v>
      </c>
      <c r="Q102" s="4" t="s">
        <v>2397</v>
      </c>
      <c r="R102" s="4" t="s">
        <v>2226</v>
      </c>
      <c r="S102" s="4" t="s">
        <v>2227</v>
      </c>
      <c r="T102" s="4" t="s">
        <v>2228</v>
      </c>
      <c r="U102" s="4" t="s">
        <v>2248</v>
      </c>
      <c r="V102" s="4" t="s">
        <v>598</v>
      </c>
      <c r="W102" s="4" t="s">
        <v>2230</v>
      </c>
      <c r="X102" s="4" t="s">
        <v>2224</v>
      </c>
      <c r="Y102" s="4" t="s">
        <v>2283</v>
      </c>
      <c r="Z102" s="6">
        <v>50028.3</v>
      </c>
      <c r="AA102" s="6">
        <v>600339.6</v>
      </c>
      <c r="AB102" s="4" t="s">
        <v>2232</v>
      </c>
      <c r="AC102" s="7" t="s">
        <v>2224</v>
      </c>
    </row>
    <row r="103" spans="1:29" ht="15" customHeight="1" collapsed="1" thickBot="1" x14ac:dyDescent="0.3">
      <c r="A103" s="20" t="str">
        <f>CONCATENATE("134"," - ","MISS", " ","Melanie"," ", "Dreyer")</f>
        <v>134 - MISS Melanie Dreyer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2"/>
    </row>
    <row r="104" spans="1:29" ht="15" hidden="1" customHeight="1" outlineLevel="1" thickBot="1" x14ac:dyDescent="0.3">
      <c r="A104" s="4" t="s">
        <v>2398</v>
      </c>
      <c r="B104" s="4" t="s">
        <v>213</v>
      </c>
      <c r="C104" s="4" t="s">
        <v>2220</v>
      </c>
      <c r="D104" s="5">
        <v>42962.549999999996</v>
      </c>
      <c r="E104" s="4" t="s">
        <v>2221</v>
      </c>
      <c r="F104" s="4" t="s">
        <v>2222</v>
      </c>
      <c r="G104" s="4" t="s">
        <v>2234</v>
      </c>
      <c r="H104" s="4" t="s">
        <v>788</v>
      </c>
      <c r="I104" s="4" t="s">
        <v>1185</v>
      </c>
      <c r="J104" s="4" t="s">
        <v>1184</v>
      </c>
      <c r="K104" s="5">
        <v>32654</v>
      </c>
      <c r="L104" s="4" t="s">
        <v>2399</v>
      </c>
      <c r="M104" s="4" t="s">
        <v>9</v>
      </c>
      <c r="N104" s="5">
        <v>40008</v>
      </c>
      <c r="O104" s="5" t="s">
        <v>2224</v>
      </c>
      <c r="P104" s="4" t="s">
        <v>2224</v>
      </c>
      <c r="Q104" s="4" t="s">
        <v>2400</v>
      </c>
      <c r="R104" s="4" t="s">
        <v>2226</v>
      </c>
      <c r="S104" s="4" t="s">
        <v>2227</v>
      </c>
      <c r="T104" s="4" t="s">
        <v>2228</v>
      </c>
      <c r="U104" s="4" t="s">
        <v>2237</v>
      </c>
      <c r="V104" s="4" t="s">
        <v>125</v>
      </c>
      <c r="W104" s="4" t="s">
        <v>2230</v>
      </c>
      <c r="X104" s="4" t="s">
        <v>2224</v>
      </c>
      <c r="Y104" s="4" t="s">
        <v>2239</v>
      </c>
      <c r="Z104" s="6">
        <v>20646.900000000001</v>
      </c>
      <c r="AA104" s="6">
        <v>247762.8</v>
      </c>
      <c r="AB104" s="4" t="s">
        <v>2232</v>
      </c>
      <c r="AC104" s="7" t="s">
        <v>2224</v>
      </c>
    </row>
    <row r="105" spans="1:29" ht="15" customHeight="1" collapsed="1" thickBot="1" x14ac:dyDescent="0.3">
      <c r="A105" s="20" t="str">
        <f>CONCATENATE("135"," - ","MR", " ","Jaco"," ", "du Plessis")</f>
        <v>135 - MR Jaco du Plessis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2"/>
    </row>
    <row r="106" spans="1:29" ht="15" hidden="1" customHeight="1" outlineLevel="1" thickBot="1" x14ac:dyDescent="0.3">
      <c r="A106" s="4" t="s">
        <v>2401</v>
      </c>
      <c r="B106" s="4" t="s">
        <v>664</v>
      </c>
      <c r="C106" s="4" t="s">
        <v>2220</v>
      </c>
      <c r="D106" s="5">
        <v>42963.290277777778</v>
      </c>
      <c r="E106" s="4" t="s">
        <v>2221</v>
      </c>
      <c r="F106" s="4" t="s">
        <v>2222</v>
      </c>
      <c r="G106" s="4" t="s">
        <v>2014</v>
      </c>
      <c r="H106" s="4" t="s">
        <v>888</v>
      </c>
      <c r="I106" s="4" t="s">
        <v>1461</v>
      </c>
      <c r="J106" s="4" t="s">
        <v>2001</v>
      </c>
      <c r="K106" s="5">
        <v>29717</v>
      </c>
      <c r="L106" s="4" t="s">
        <v>2402</v>
      </c>
      <c r="M106" s="4" t="s">
        <v>9</v>
      </c>
      <c r="N106" s="5">
        <v>42430</v>
      </c>
      <c r="O106" s="5" t="s">
        <v>2224</v>
      </c>
      <c r="P106" s="4" t="s">
        <v>2224</v>
      </c>
      <c r="Q106" s="4" t="s">
        <v>2403</v>
      </c>
      <c r="R106" s="4" t="s">
        <v>2226</v>
      </c>
      <c r="S106" s="4" t="s">
        <v>2227</v>
      </c>
      <c r="T106" s="4" t="s">
        <v>2228</v>
      </c>
      <c r="U106" s="4" t="s">
        <v>2258</v>
      </c>
      <c r="V106" s="4" t="s">
        <v>246</v>
      </c>
      <c r="W106" s="4" t="s">
        <v>2249</v>
      </c>
      <c r="X106" s="4" t="s">
        <v>2224</v>
      </c>
      <c r="Y106" s="4" t="s">
        <v>2259</v>
      </c>
      <c r="Z106" s="6">
        <v>68050.454400000002</v>
      </c>
      <c r="AA106" s="6">
        <v>816605.45</v>
      </c>
      <c r="AB106" s="4" t="s">
        <v>2232</v>
      </c>
      <c r="AC106" s="7" t="s">
        <v>2224</v>
      </c>
    </row>
    <row r="107" spans="1:29" ht="15" customHeight="1" collapsed="1" thickBot="1" x14ac:dyDescent="0.3">
      <c r="A107" s="20" t="str">
        <f>CONCATENATE("136"," - ","MISS", " ","Sonette"," ", "Du Plessis")</f>
        <v>136 - MISS Sonette Du Plessis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2"/>
    </row>
    <row r="108" spans="1:29" ht="15" hidden="1" customHeight="1" outlineLevel="1" thickBot="1" x14ac:dyDescent="0.3">
      <c r="A108" s="4" t="s">
        <v>2404</v>
      </c>
      <c r="B108" s="4" t="s">
        <v>142</v>
      </c>
      <c r="C108" s="4" t="s">
        <v>2220</v>
      </c>
      <c r="D108" s="5">
        <v>42962.463194444441</v>
      </c>
      <c r="E108" s="4" t="s">
        <v>2221</v>
      </c>
      <c r="F108" s="4" t="s">
        <v>2222</v>
      </c>
      <c r="G108" s="4" t="s">
        <v>2234</v>
      </c>
      <c r="H108" s="4" t="s">
        <v>800</v>
      </c>
      <c r="I108" s="4" t="s">
        <v>1041</v>
      </c>
      <c r="J108" s="4" t="s">
        <v>1040</v>
      </c>
      <c r="K108" s="5">
        <v>31015</v>
      </c>
      <c r="L108" s="4" t="s">
        <v>2405</v>
      </c>
      <c r="M108" s="4" t="s">
        <v>9</v>
      </c>
      <c r="N108" s="5">
        <v>39304</v>
      </c>
      <c r="O108" s="5" t="s">
        <v>2224</v>
      </c>
      <c r="P108" s="4" t="s">
        <v>2224</v>
      </c>
      <c r="Q108" s="4" t="s">
        <v>2406</v>
      </c>
      <c r="R108" s="4" t="s">
        <v>2226</v>
      </c>
      <c r="S108" s="4" t="s">
        <v>2227</v>
      </c>
      <c r="T108" s="4" t="s">
        <v>2228</v>
      </c>
      <c r="U108" s="4" t="s">
        <v>2248</v>
      </c>
      <c r="V108" s="4" t="s">
        <v>122</v>
      </c>
      <c r="W108" s="4" t="s">
        <v>2249</v>
      </c>
      <c r="X108" s="4" t="s">
        <v>2224</v>
      </c>
      <c r="Y108" s="4" t="s">
        <v>2250</v>
      </c>
      <c r="Z108" s="6">
        <v>19058.400000000001</v>
      </c>
      <c r="AA108" s="6">
        <v>228700.79999999999</v>
      </c>
      <c r="AB108" s="4" t="s">
        <v>2232</v>
      </c>
      <c r="AC108" s="7" t="s">
        <v>2224</v>
      </c>
    </row>
    <row r="109" spans="1:29" ht="15" customHeight="1" collapsed="1" thickBot="1" x14ac:dyDescent="0.3">
      <c r="A109" s="20" t="str">
        <f>CONCATENATE("137"," - ","MRS", " ","Zanna"," ", "Du Plessis")</f>
        <v>137 - MRS Zanna Du Plessis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2"/>
    </row>
    <row r="110" spans="1:29" ht="15" hidden="1" customHeight="1" outlineLevel="1" thickBot="1" x14ac:dyDescent="0.3">
      <c r="A110" s="4" t="s">
        <v>2407</v>
      </c>
      <c r="B110" s="4" t="s">
        <v>610</v>
      </c>
      <c r="C110" s="4" t="s">
        <v>2220</v>
      </c>
      <c r="D110" s="5">
        <v>42962.463194444441</v>
      </c>
      <c r="E110" s="4" t="s">
        <v>2221</v>
      </c>
      <c r="F110" s="4" t="s">
        <v>2222</v>
      </c>
      <c r="G110" s="4" t="s">
        <v>2280</v>
      </c>
      <c r="H110" s="4" t="s">
        <v>934</v>
      </c>
      <c r="I110" s="4" t="s">
        <v>1923</v>
      </c>
      <c r="J110" s="4" t="s">
        <v>1040</v>
      </c>
      <c r="K110" s="5">
        <v>31033</v>
      </c>
      <c r="L110" s="4" t="s">
        <v>2408</v>
      </c>
      <c r="M110" s="4" t="s">
        <v>9</v>
      </c>
      <c r="N110" s="5">
        <v>42248</v>
      </c>
      <c r="O110" s="5" t="s">
        <v>2224</v>
      </c>
      <c r="P110" s="4" t="s">
        <v>2224</v>
      </c>
      <c r="Q110" s="4" t="s">
        <v>2409</v>
      </c>
      <c r="R110" s="4" t="s">
        <v>2226</v>
      </c>
      <c r="S110" s="4" t="s">
        <v>2227</v>
      </c>
      <c r="T110" s="4" t="s">
        <v>2228</v>
      </c>
      <c r="U110" s="4" t="s">
        <v>2248</v>
      </c>
      <c r="V110" s="4" t="s">
        <v>598</v>
      </c>
      <c r="W110" s="4" t="s">
        <v>2230</v>
      </c>
      <c r="X110" s="4" t="s">
        <v>2224</v>
      </c>
      <c r="Y110" s="4" t="s">
        <v>2283</v>
      </c>
      <c r="Z110" s="6">
        <v>50028.3</v>
      </c>
      <c r="AA110" s="6">
        <v>600339.6</v>
      </c>
      <c r="AB110" s="4" t="s">
        <v>2232</v>
      </c>
      <c r="AC110" s="7" t="s">
        <v>2224</v>
      </c>
    </row>
    <row r="111" spans="1:29" ht="15" customHeight="1" collapsed="1" thickBot="1" x14ac:dyDescent="0.3">
      <c r="A111" s="20" t="str">
        <f>CONCATENATE("138"," - ","MRS", " ","Anthea"," ", "Du Plooy")</f>
        <v>138 - MRS Anthea Du Plooy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2"/>
    </row>
    <row r="112" spans="1:29" ht="15" hidden="1" customHeight="1" outlineLevel="1" thickBot="1" x14ac:dyDescent="0.3">
      <c r="A112" s="4" t="s">
        <v>2410</v>
      </c>
      <c r="B112" s="4" t="s">
        <v>109</v>
      </c>
      <c r="C112" s="4" t="s">
        <v>2220</v>
      </c>
      <c r="D112" s="5">
        <v>42962.461111111108</v>
      </c>
      <c r="E112" s="4" t="s">
        <v>2221</v>
      </c>
      <c r="F112" s="4" t="s">
        <v>2222</v>
      </c>
      <c r="G112" s="4" t="s">
        <v>2280</v>
      </c>
      <c r="H112" s="4" t="s">
        <v>742</v>
      </c>
      <c r="I112" s="4" t="s">
        <v>982</v>
      </c>
      <c r="J112" s="4" t="s">
        <v>981</v>
      </c>
      <c r="K112" s="5">
        <v>29925</v>
      </c>
      <c r="L112" s="4" t="s">
        <v>2411</v>
      </c>
      <c r="M112" s="4" t="s">
        <v>9</v>
      </c>
      <c r="N112" s="5">
        <v>39027</v>
      </c>
      <c r="O112" s="5" t="s">
        <v>2224</v>
      </c>
      <c r="P112" s="4" t="s">
        <v>2224</v>
      </c>
      <c r="Q112" s="4" t="s">
        <v>2412</v>
      </c>
      <c r="R112" s="4" t="s">
        <v>2226</v>
      </c>
      <c r="S112" s="4" t="s">
        <v>2227</v>
      </c>
      <c r="T112" s="4" t="s">
        <v>2228</v>
      </c>
      <c r="U112" s="4" t="s">
        <v>2229</v>
      </c>
      <c r="V112" s="4" t="s">
        <v>17</v>
      </c>
      <c r="W112" s="4" t="s">
        <v>2230</v>
      </c>
      <c r="X112" s="4" t="s">
        <v>2224</v>
      </c>
      <c r="Y112" s="4" t="s">
        <v>2380</v>
      </c>
      <c r="Z112" s="6">
        <v>21430.874299999999</v>
      </c>
      <c r="AA112" s="6">
        <v>257170.49</v>
      </c>
      <c r="AB112" s="4" t="s">
        <v>2232</v>
      </c>
      <c r="AC112" s="7" t="s">
        <v>2224</v>
      </c>
    </row>
    <row r="113" spans="1:29" ht="15" customHeight="1" collapsed="1" thickBot="1" x14ac:dyDescent="0.3">
      <c r="A113" s="20" t="str">
        <f>CONCATENATE("139"," - ","MR", " ","THEUNIS"," ", "Du Toit")</f>
        <v>139 - MR THEUNIS Du Toit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2"/>
    </row>
    <row r="114" spans="1:29" ht="15" hidden="1" customHeight="1" outlineLevel="1" thickBot="1" x14ac:dyDescent="0.3">
      <c r="A114" s="4" t="s">
        <v>2413</v>
      </c>
      <c r="B114" s="4" t="s">
        <v>197</v>
      </c>
      <c r="C114" s="4" t="s">
        <v>2220</v>
      </c>
      <c r="D114" s="5">
        <v>42957.399305555555</v>
      </c>
      <c r="E114" s="4" t="s">
        <v>2221</v>
      </c>
      <c r="F114" s="4" t="s">
        <v>2222</v>
      </c>
      <c r="G114" s="4" t="s">
        <v>2014</v>
      </c>
      <c r="H114" s="4" t="s">
        <v>819</v>
      </c>
      <c r="I114" s="4" t="s">
        <v>1148</v>
      </c>
      <c r="J114" s="4" t="s">
        <v>1147</v>
      </c>
      <c r="K114" s="5">
        <v>25949</v>
      </c>
      <c r="L114" s="4" t="s">
        <v>2414</v>
      </c>
      <c r="M114" s="4" t="s">
        <v>9</v>
      </c>
      <c r="N114" s="5">
        <v>39539</v>
      </c>
      <c r="O114" s="5" t="s">
        <v>2224</v>
      </c>
      <c r="P114" s="4" t="s">
        <v>2224</v>
      </c>
      <c r="Q114" s="4" t="s">
        <v>2415</v>
      </c>
      <c r="R114" s="4" t="s">
        <v>2226</v>
      </c>
      <c r="S114" s="4" t="s">
        <v>2227</v>
      </c>
      <c r="T114" s="4" t="s">
        <v>2228</v>
      </c>
      <c r="U114" s="4" t="s">
        <v>2258</v>
      </c>
      <c r="V114" s="4" t="s">
        <v>198</v>
      </c>
      <c r="W114" s="4" t="s">
        <v>2249</v>
      </c>
      <c r="X114" s="4" t="s">
        <v>2224</v>
      </c>
      <c r="Y114" s="4" t="s">
        <v>2259</v>
      </c>
      <c r="Z114" s="6">
        <v>145467.13</v>
      </c>
      <c r="AA114" s="6">
        <v>1745605.56</v>
      </c>
      <c r="AB114" s="4" t="s">
        <v>2232</v>
      </c>
      <c r="AC114" s="7" t="s">
        <v>2224</v>
      </c>
    </row>
    <row r="115" spans="1:29" ht="15" customHeight="1" collapsed="1" thickBot="1" x14ac:dyDescent="0.3">
      <c r="A115" s="20" t="str">
        <f>CONCATENATE("141"," - ","MR", " ","Moore"," ", "Dube")</f>
        <v>141 - MR Moore Dube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2"/>
    </row>
    <row r="116" spans="1:29" ht="15" hidden="1" customHeight="1" outlineLevel="1" thickBot="1" x14ac:dyDescent="0.3">
      <c r="A116" s="4" t="s">
        <v>2416</v>
      </c>
      <c r="B116" s="4" t="s">
        <v>57</v>
      </c>
      <c r="C116" s="4" t="s">
        <v>2220</v>
      </c>
      <c r="D116" s="5">
        <v>42962.461805555555</v>
      </c>
      <c r="E116" s="4" t="s">
        <v>2221</v>
      </c>
      <c r="F116" s="4" t="s">
        <v>2222</v>
      </c>
      <c r="G116" s="4" t="s">
        <v>2014</v>
      </c>
      <c r="H116" s="4" t="s">
        <v>788</v>
      </c>
      <c r="I116" s="4" t="s">
        <v>872</v>
      </c>
      <c r="J116" s="4" t="s">
        <v>871</v>
      </c>
      <c r="K116" s="5">
        <v>30035</v>
      </c>
      <c r="L116" s="4" t="s">
        <v>2417</v>
      </c>
      <c r="M116" s="4" t="s">
        <v>9</v>
      </c>
      <c r="N116" s="5">
        <v>38992</v>
      </c>
      <c r="O116" s="5" t="s">
        <v>2224</v>
      </c>
      <c r="P116" s="4" t="s">
        <v>2224</v>
      </c>
      <c r="Q116" s="4" t="s">
        <v>2418</v>
      </c>
      <c r="R116" s="4" t="s">
        <v>2226</v>
      </c>
      <c r="S116" s="4" t="s">
        <v>2227</v>
      </c>
      <c r="T116" s="4" t="s">
        <v>2228</v>
      </c>
      <c r="U116" s="4" t="s">
        <v>2229</v>
      </c>
      <c r="V116" s="4" t="s">
        <v>17</v>
      </c>
      <c r="W116" s="4" t="s">
        <v>2230</v>
      </c>
      <c r="X116" s="4" t="s">
        <v>2224</v>
      </c>
      <c r="Y116" s="4" t="s">
        <v>2419</v>
      </c>
      <c r="Z116" s="6">
        <v>19891.612099999998</v>
      </c>
      <c r="AA116" s="6">
        <v>238699.35</v>
      </c>
      <c r="AB116" s="4" t="s">
        <v>2232</v>
      </c>
      <c r="AC116" s="7" t="s">
        <v>2224</v>
      </c>
    </row>
    <row r="117" spans="1:29" ht="15" customHeight="1" collapsed="1" thickBot="1" x14ac:dyDescent="0.3">
      <c r="A117" s="20" t="str">
        <f>CONCATENATE("142"," - ","MR", " ","Katleho"," ", "Duiker")</f>
        <v>142 - MR Katleho Duiker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2"/>
    </row>
    <row r="118" spans="1:29" ht="15" hidden="1" customHeight="1" outlineLevel="1" thickBot="1" x14ac:dyDescent="0.3">
      <c r="A118" s="4" t="s">
        <v>2420</v>
      </c>
      <c r="B118" s="4" t="s">
        <v>530</v>
      </c>
      <c r="C118" s="4" t="s">
        <v>2220</v>
      </c>
      <c r="D118" s="5">
        <v>42962.461111111108</v>
      </c>
      <c r="E118" s="4" t="s">
        <v>2221</v>
      </c>
      <c r="F118" s="4" t="s">
        <v>2222</v>
      </c>
      <c r="G118" s="4" t="s">
        <v>2014</v>
      </c>
      <c r="H118" s="4" t="s">
        <v>1790</v>
      </c>
      <c r="I118" s="4" t="s">
        <v>1791</v>
      </c>
      <c r="J118" s="4" t="s">
        <v>1789</v>
      </c>
      <c r="K118" s="5">
        <v>33261</v>
      </c>
      <c r="L118" s="4" t="s">
        <v>2421</v>
      </c>
      <c r="M118" s="4" t="s">
        <v>9</v>
      </c>
      <c r="N118" s="5">
        <v>42058</v>
      </c>
      <c r="O118" s="5" t="s">
        <v>2224</v>
      </c>
      <c r="P118" s="4" t="s">
        <v>2224</v>
      </c>
      <c r="Q118" s="4" t="s">
        <v>2422</v>
      </c>
      <c r="R118" s="4" t="s">
        <v>2226</v>
      </c>
      <c r="S118" s="4" t="s">
        <v>2227</v>
      </c>
      <c r="T118" s="4" t="s">
        <v>2228</v>
      </c>
      <c r="U118" s="4" t="s">
        <v>2229</v>
      </c>
      <c r="V118" s="4" t="s">
        <v>25</v>
      </c>
      <c r="W118" s="4" t="s">
        <v>2278</v>
      </c>
      <c r="X118" s="4" t="s">
        <v>2224</v>
      </c>
      <c r="Y118" s="4" t="s">
        <v>2423</v>
      </c>
      <c r="Z118" s="6">
        <v>5355.0716000000002</v>
      </c>
      <c r="AA118" s="6">
        <v>64260.86</v>
      </c>
      <c r="AB118" s="4" t="s">
        <v>2232</v>
      </c>
      <c r="AC118" s="7" t="s">
        <v>2224</v>
      </c>
    </row>
    <row r="119" spans="1:29" ht="15" customHeight="1" collapsed="1" thickBot="1" x14ac:dyDescent="0.3">
      <c r="A119" s="20" t="str">
        <f>CONCATENATE("143"," - ","MR", " ","Morne"," ", "Duvenage")</f>
        <v>143 - MR Morne Duvenage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2"/>
    </row>
    <row r="120" spans="1:29" ht="15" hidden="1" customHeight="1" outlineLevel="1" thickBot="1" x14ac:dyDescent="0.3">
      <c r="A120" s="4" t="s">
        <v>2424</v>
      </c>
      <c r="B120" s="4" t="s">
        <v>648</v>
      </c>
      <c r="C120" s="4" t="s">
        <v>2220</v>
      </c>
      <c r="D120" s="5">
        <v>42962.549999999996</v>
      </c>
      <c r="E120" s="4" t="s">
        <v>2221</v>
      </c>
      <c r="F120" s="4" t="s">
        <v>2222</v>
      </c>
      <c r="G120" s="4" t="s">
        <v>2014</v>
      </c>
      <c r="H120" s="4" t="s">
        <v>1980</v>
      </c>
      <c r="I120" s="4" t="s">
        <v>1178</v>
      </c>
      <c r="J120" s="4" t="s">
        <v>1979</v>
      </c>
      <c r="K120" s="5">
        <v>32424</v>
      </c>
      <c r="L120" s="4" t="s">
        <v>2425</v>
      </c>
      <c r="M120" s="4" t="s">
        <v>9</v>
      </c>
      <c r="N120" s="5">
        <v>42332</v>
      </c>
      <c r="O120" s="5" t="s">
        <v>2224</v>
      </c>
      <c r="P120" s="4" t="s">
        <v>2224</v>
      </c>
      <c r="Q120" s="4" t="s">
        <v>2426</v>
      </c>
      <c r="R120" s="4" t="s">
        <v>2226</v>
      </c>
      <c r="S120" s="4" t="s">
        <v>2227</v>
      </c>
      <c r="T120" s="4" t="s">
        <v>2228</v>
      </c>
      <c r="U120" s="4" t="s">
        <v>2237</v>
      </c>
      <c r="V120" s="4" t="s">
        <v>8</v>
      </c>
      <c r="W120" s="4" t="s">
        <v>2278</v>
      </c>
      <c r="X120" s="4" t="s">
        <v>2224</v>
      </c>
      <c r="Y120" s="4" t="s">
        <v>2239</v>
      </c>
      <c r="Z120" s="6">
        <v>16087.7</v>
      </c>
      <c r="AA120" s="6">
        <v>193052.4</v>
      </c>
      <c r="AB120" s="4" t="s">
        <v>2232</v>
      </c>
      <c r="AC120" s="7" t="s">
        <v>2224</v>
      </c>
    </row>
    <row r="121" spans="1:29" ht="15" customHeight="1" collapsed="1" thickBot="1" x14ac:dyDescent="0.3">
      <c r="A121" s="20" t="str">
        <f>CONCATENATE("144"," - ","MISS", " ","Sindiswa"," ", "Dywili")</f>
        <v>144 - MISS Sindiswa Dywili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2"/>
    </row>
    <row r="122" spans="1:29" ht="15" hidden="1" customHeight="1" outlineLevel="1" thickBot="1" x14ac:dyDescent="0.3">
      <c r="A122" s="4" t="s">
        <v>2427</v>
      </c>
      <c r="B122" s="4" t="s">
        <v>22</v>
      </c>
      <c r="C122" s="4" t="s">
        <v>2220</v>
      </c>
      <c r="D122" s="5">
        <v>42962.521527777775</v>
      </c>
      <c r="E122" s="4" t="s">
        <v>2221</v>
      </c>
      <c r="F122" s="4" t="s">
        <v>2222</v>
      </c>
      <c r="G122" s="4" t="s">
        <v>2234</v>
      </c>
      <c r="H122" s="4" t="s">
        <v>800</v>
      </c>
      <c r="I122" s="4" t="s">
        <v>803</v>
      </c>
      <c r="J122" s="4" t="s">
        <v>802</v>
      </c>
      <c r="K122" s="5">
        <v>31291</v>
      </c>
      <c r="L122" s="4" t="s">
        <v>2428</v>
      </c>
      <c r="M122" s="4" t="s">
        <v>9</v>
      </c>
      <c r="N122" s="5">
        <v>38978</v>
      </c>
      <c r="O122" s="5" t="s">
        <v>2224</v>
      </c>
      <c r="P122" s="4" t="s">
        <v>2224</v>
      </c>
      <c r="Q122" s="4" t="s">
        <v>2429</v>
      </c>
      <c r="R122" s="4" t="s">
        <v>2226</v>
      </c>
      <c r="S122" s="4" t="s">
        <v>2227</v>
      </c>
      <c r="T122" s="4" t="s">
        <v>2228</v>
      </c>
      <c r="U122" s="4" t="s">
        <v>2237</v>
      </c>
      <c r="V122" s="4" t="s">
        <v>8</v>
      </c>
      <c r="W122" s="4" t="s">
        <v>2238</v>
      </c>
      <c r="X122" s="4" t="s">
        <v>2224</v>
      </c>
      <c r="Y122" s="4" t="s">
        <v>2239</v>
      </c>
      <c r="Z122" s="6">
        <v>17112.251499999998</v>
      </c>
      <c r="AA122" s="6">
        <v>205347.02</v>
      </c>
      <c r="AB122" s="4" t="s">
        <v>2232</v>
      </c>
      <c r="AC122" s="7" t="s">
        <v>2224</v>
      </c>
    </row>
    <row r="123" spans="1:29" ht="15" customHeight="1" collapsed="1" thickBot="1" x14ac:dyDescent="0.3">
      <c r="A123" s="20" t="str">
        <f>CONCATENATE("145"," - ","MISS", " ","Meagan"," ", "Easthorpe")</f>
        <v>145 - MISS Meagan Easthorpe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2"/>
    </row>
    <row r="124" spans="1:29" ht="15" hidden="1" customHeight="1" outlineLevel="1" thickBot="1" x14ac:dyDescent="0.3">
      <c r="A124" s="4" t="s">
        <v>2430</v>
      </c>
      <c r="B124" s="4" t="s">
        <v>517</v>
      </c>
      <c r="C124" s="4" t="s">
        <v>2220</v>
      </c>
      <c r="D124" s="5">
        <v>42962.461805555555</v>
      </c>
      <c r="E124" s="4" t="s">
        <v>2221</v>
      </c>
      <c r="F124" s="4" t="s">
        <v>2222</v>
      </c>
      <c r="G124" s="4" t="s">
        <v>2234</v>
      </c>
      <c r="H124" s="4" t="s">
        <v>969</v>
      </c>
      <c r="I124" s="4" t="s">
        <v>1765</v>
      </c>
      <c r="J124" s="4" t="s">
        <v>1764</v>
      </c>
      <c r="K124" s="5">
        <v>34340</v>
      </c>
      <c r="L124" s="4" t="s">
        <v>2431</v>
      </c>
      <c r="M124" s="4" t="s">
        <v>9</v>
      </c>
      <c r="N124" s="5">
        <v>42072</v>
      </c>
      <c r="O124" s="5" t="s">
        <v>2224</v>
      </c>
      <c r="P124" s="4" t="s">
        <v>2224</v>
      </c>
      <c r="Q124" s="4" t="s">
        <v>2432</v>
      </c>
      <c r="R124" s="4" t="s">
        <v>2226</v>
      </c>
      <c r="S124" s="4" t="s">
        <v>2227</v>
      </c>
      <c r="T124" s="4" t="s">
        <v>2228</v>
      </c>
      <c r="U124" s="4" t="s">
        <v>2229</v>
      </c>
      <c r="V124" s="4" t="s">
        <v>25</v>
      </c>
      <c r="W124" s="4" t="s">
        <v>2278</v>
      </c>
      <c r="X124" s="4" t="s">
        <v>2224</v>
      </c>
      <c r="Y124" s="4" t="s">
        <v>2321</v>
      </c>
      <c r="Z124" s="6">
        <v>10710.1538</v>
      </c>
      <c r="AA124" s="6">
        <v>128521.85</v>
      </c>
      <c r="AB124" s="4" t="s">
        <v>2232</v>
      </c>
      <c r="AC124" s="7" t="s">
        <v>2224</v>
      </c>
    </row>
    <row r="125" spans="1:29" ht="15" customHeight="1" collapsed="1" thickBot="1" x14ac:dyDescent="0.3">
      <c r="A125" s="20" t="str">
        <f>CONCATENATE("147"," - ","MR", " ","Charles"," ", "Enever")</f>
        <v>147 - MR Charles Enever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2"/>
    </row>
    <row r="126" spans="1:29" ht="15" hidden="1" customHeight="1" outlineLevel="1" thickBot="1" x14ac:dyDescent="0.3">
      <c r="A126" s="4" t="s">
        <v>2433</v>
      </c>
      <c r="B126" s="4" t="s">
        <v>250</v>
      </c>
      <c r="C126" s="4" t="s">
        <v>2220</v>
      </c>
      <c r="D126" s="5">
        <v>42963.282638888886</v>
      </c>
      <c r="E126" s="4" t="s">
        <v>2221</v>
      </c>
      <c r="F126" s="4" t="s">
        <v>2222</v>
      </c>
      <c r="G126" s="4" t="s">
        <v>2014</v>
      </c>
      <c r="H126" s="4" t="s">
        <v>743</v>
      </c>
      <c r="I126" s="4" t="s">
        <v>1256</v>
      </c>
      <c r="J126" s="4" t="s">
        <v>1255</v>
      </c>
      <c r="K126" s="5">
        <v>21237</v>
      </c>
      <c r="L126" s="4" t="s">
        <v>2434</v>
      </c>
      <c r="M126" s="4" t="s">
        <v>9</v>
      </c>
      <c r="N126" s="5">
        <v>40513</v>
      </c>
      <c r="O126" s="5" t="s">
        <v>2224</v>
      </c>
      <c r="P126" s="4" t="s">
        <v>2224</v>
      </c>
      <c r="Q126" s="4" t="s">
        <v>2435</v>
      </c>
      <c r="R126" s="4" t="s">
        <v>2226</v>
      </c>
      <c r="S126" s="4" t="s">
        <v>2227</v>
      </c>
      <c r="T126" s="4" t="s">
        <v>2228</v>
      </c>
      <c r="U126" s="4" t="s">
        <v>2258</v>
      </c>
      <c r="V126" s="4" t="s">
        <v>13</v>
      </c>
      <c r="W126" s="4" t="s">
        <v>2249</v>
      </c>
      <c r="X126" s="4" t="s">
        <v>2224</v>
      </c>
      <c r="Y126" s="4" t="s">
        <v>2259</v>
      </c>
      <c r="Z126" s="6">
        <v>121222.6128</v>
      </c>
      <c r="AA126" s="6">
        <v>1454671.35</v>
      </c>
      <c r="AB126" s="4" t="s">
        <v>2232</v>
      </c>
      <c r="AC126" s="7" t="s">
        <v>2224</v>
      </c>
    </row>
    <row r="127" spans="1:29" ht="15" customHeight="1" collapsed="1" thickBot="1" x14ac:dyDescent="0.3">
      <c r="A127" s="20" t="str">
        <f>CONCATENATE("148"," - ","MS", " ","Dominque"," ", "Erasmus")</f>
        <v>148 - MS Dominque Erasmus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2"/>
    </row>
    <row r="128" spans="1:29" ht="15" hidden="1" customHeight="1" outlineLevel="1" thickBot="1" x14ac:dyDescent="0.3">
      <c r="A128" s="4" t="s">
        <v>2436</v>
      </c>
      <c r="B128" s="4" t="s">
        <v>621</v>
      </c>
      <c r="C128" s="4" t="s">
        <v>2220</v>
      </c>
      <c r="D128" s="5">
        <v>42962.549999999996</v>
      </c>
      <c r="E128" s="4" t="s">
        <v>2221</v>
      </c>
      <c r="F128" s="4" t="s">
        <v>2222</v>
      </c>
      <c r="G128" s="4" t="s">
        <v>813</v>
      </c>
      <c r="H128" s="4" t="s">
        <v>1187</v>
      </c>
      <c r="I128" s="4" t="s">
        <v>1938</v>
      </c>
      <c r="J128" s="4" t="s">
        <v>1937</v>
      </c>
      <c r="K128" s="5">
        <v>34458</v>
      </c>
      <c r="L128" s="4" t="s">
        <v>2437</v>
      </c>
      <c r="M128" s="4" t="s">
        <v>9</v>
      </c>
      <c r="N128" s="5">
        <v>42275</v>
      </c>
      <c r="O128" s="5" t="s">
        <v>2224</v>
      </c>
      <c r="P128" s="4" t="s">
        <v>2224</v>
      </c>
      <c r="Q128" s="4" t="s">
        <v>2438</v>
      </c>
      <c r="R128" s="4" t="s">
        <v>2226</v>
      </c>
      <c r="S128" s="4" t="s">
        <v>2227</v>
      </c>
      <c r="T128" s="4" t="s">
        <v>2228</v>
      </c>
      <c r="U128" s="4" t="s">
        <v>2237</v>
      </c>
      <c r="V128" s="4" t="s">
        <v>8</v>
      </c>
      <c r="W128" s="4" t="s">
        <v>2278</v>
      </c>
      <c r="X128" s="4" t="s">
        <v>2224</v>
      </c>
      <c r="Y128" s="4" t="s">
        <v>2239</v>
      </c>
      <c r="Z128" s="6">
        <v>16081.7</v>
      </c>
      <c r="AA128" s="6">
        <v>192980.4</v>
      </c>
      <c r="AB128" s="4" t="s">
        <v>2232</v>
      </c>
      <c r="AC128" s="7" t="s">
        <v>2224</v>
      </c>
    </row>
    <row r="129" spans="1:29" ht="15" customHeight="1" collapsed="1" thickBot="1" x14ac:dyDescent="0.3">
      <c r="A129" s="20" t="str">
        <f>CONCATENATE("149"," - ","MRS", " ","Shelley"," ", "Exelby")</f>
        <v>149 - MRS Shelley Exelby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2"/>
    </row>
    <row r="130" spans="1:29" ht="15" hidden="1" customHeight="1" outlineLevel="1" thickBot="1" x14ac:dyDescent="0.3">
      <c r="A130" s="4" t="s">
        <v>2439</v>
      </c>
      <c r="B130" s="4" t="s">
        <v>457</v>
      </c>
      <c r="C130" s="4" t="s">
        <v>2220</v>
      </c>
      <c r="D130" s="5">
        <v>42957.418749999997</v>
      </c>
      <c r="E130" s="4" t="s">
        <v>2221</v>
      </c>
      <c r="F130" s="4" t="s">
        <v>2222</v>
      </c>
      <c r="G130" s="4" t="s">
        <v>2280</v>
      </c>
      <c r="H130" s="4" t="s">
        <v>800</v>
      </c>
      <c r="I130" s="4" t="s">
        <v>1650</v>
      </c>
      <c r="J130" s="4" t="s">
        <v>1649</v>
      </c>
      <c r="K130" s="5">
        <v>28862</v>
      </c>
      <c r="L130" s="4" t="s">
        <v>2440</v>
      </c>
      <c r="M130" s="4" t="s">
        <v>9</v>
      </c>
      <c r="N130" s="5">
        <v>41730</v>
      </c>
      <c r="O130" s="5">
        <v>42978</v>
      </c>
      <c r="P130" s="4" t="s">
        <v>2441</v>
      </c>
      <c r="Q130" s="4" t="s">
        <v>2442</v>
      </c>
      <c r="R130" s="4" t="s">
        <v>2226</v>
      </c>
      <c r="S130" s="4" t="s">
        <v>2227</v>
      </c>
      <c r="T130" s="4" t="s">
        <v>2228</v>
      </c>
      <c r="U130" s="4" t="s">
        <v>2258</v>
      </c>
      <c r="V130" s="4" t="s">
        <v>246</v>
      </c>
      <c r="W130" s="4" t="s">
        <v>2249</v>
      </c>
      <c r="X130" s="4" t="s">
        <v>2224</v>
      </c>
      <c r="Y130" s="4" t="s">
        <v>2224</v>
      </c>
      <c r="Z130" s="6">
        <v>70799.691600000006</v>
      </c>
      <c r="AA130" s="6">
        <v>849596.3</v>
      </c>
      <c r="AB130" s="4" t="s">
        <v>2232</v>
      </c>
      <c r="AC130" s="7" t="s">
        <v>2224</v>
      </c>
    </row>
    <row r="131" spans="1:29" ht="15" customHeight="1" collapsed="1" thickBot="1" x14ac:dyDescent="0.3">
      <c r="A131" s="20" t="str">
        <f>CONCATENATE("150"," - ","MS", " ","Leigh-Ann"," ", "Fernandez")</f>
        <v>150 - MS Leigh-Ann Fernandez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2"/>
    </row>
    <row r="132" spans="1:29" ht="15" hidden="1" customHeight="1" outlineLevel="1" thickBot="1" x14ac:dyDescent="0.3">
      <c r="A132" s="4" t="s">
        <v>2443</v>
      </c>
      <c r="B132" s="4" t="s">
        <v>647</v>
      </c>
      <c r="C132" s="4" t="s">
        <v>2220</v>
      </c>
      <c r="D132" s="5">
        <v>42962.549999999996</v>
      </c>
      <c r="E132" s="4" t="s">
        <v>2221</v>
      </c>
      <c r="F132" s="4" t="s">
        <v>2222</v>
      </c>
      <c r="G132" s="4" t="s">
        <v>813</v>
      </c>
      <c r="H132" s="4" t="s">
        <v>826</v>
      </c>
      <c r="I132" s="4" t="s">
        <v>1978</v>
      </c>
      <c r="J132" s="4" t="s">
        <v>1977</v>
      </c>
      <c r="K132" s="5">
        <v>35361</v>
      </c>
      <c r="L132" s="4" t="s">
        <v>2444</v>
      </c>
      <c r="M132" s="4" t="s">
        <v>9</v>
      </c>
      <c r="N132" s="5">
        <v>42332</v>
      </c>
      <c r="O132" s="5" t="s">
        <v>2224</v>
      </c>
      <c r="P132" s="4" t="s">
        <v>2224</v>
      </c>
      <c r="Q132" s="4" t="s">
        <v>2445</v>
      </c>
      <c r="R132" s="4" t="s">
        <v>2226</v>
      </c>
      <c r="S132" s="4" t="s">
        <v>2227</v>
      </c>
      <c r="T132" s="4" t="s">
        <v>2228</v>
      </c>
      <c r="U132" s="4" t="s">
        <v>2237</v>
      </c>
      <c r="V132" s="4" t="s">
        <v>8</v>
      </c>
      <c r="W132" s="4" t="s">
        <v>2278</v>
      </c>
      <c r="X132" s="4" t="s">
        <v>2224</v>
      </c>
      <c r="Y132" s="4" t="s">
        <v>2239</v>
      </c>
      <c r="Z132" s="6">
        <v>16081.7</v>
      </c>
      <c r="AA132" s="6">
        <v>192980.4</v>
      </c>
      <c r="AB132" s="4" t="s">
        <v>2232</v>
      </c>
      <c r="AC132" s="7" t="s">
        <v>2224</v>
      </c>
    </row>
    <row r="133" spans="1:29" ht="15" customHeight="1" collapsed="1" thickBot="1" x14ac:dyDescent="0.3">
      <c r="A133" s="20" t="str">
        <f>CONCATENATE("151"," - ","MR", " ","Llewellyn"," ", "Fisch")</f>
        <v>151 - MR Llewellyn Fisch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2"/>
    </row>
    <row r="134" spans="1:29" ht="15" hidden="1" customHeight="1" outlineLevel="1" thickBot="1" x14ac:dyDescent="0.3">
      <c r="A134" s="4" t="s">
        <v>2446</v>
      </c>
      <c r="B134" s="4" t="s">
        <v>601</v>
      </c>
      <c r="C134" s="4" t="s">
        <v>2220</v>
      </c>
      <c r="D134" s="5">
        <v>42962.461805555555</v>
      </c>
      <c r="E134" s="4" t="s">
        <v>2221</v>
      </c>
      <c r="F134" s="4" t="s">
        <v>2222</v>
      </c>
      <c r="G134" s="4" t="s">
        <v>2014</v>
      </c>
      <c r="H134" s="4" t="s">
        <v>1876</v>
      </c>
      <c r="I134" s="4" t="s">
        <v>1910</v>
      </c>
      <c r="J134" s="4" t="s">
        <v>1909</v>
      </c>
      <c r="K134" s="5">
        <v>31675</v>
      </c>
      <c r="L134" s="4" t="s">
        <v>2447</v>
      </c>
      <c r="M134" s="4" t="s">
        <v>9</v>
      </c>
      <c r="N134" s="5">
        <v>42191</v>
      </c>
      <c r="O134" s="5" t="s">
        <v>2224</v>
      </c>
      <c r="P134" s="4" t="s">
        <v>2224</v>
      </c>
      <c r="Q134" s="4" t="s">
        <v>2448</v>
      </c>
      <c r="R134" s="4" t="s">
        <v>2226</v>
      </c>
      <c r="S134" s="4" t="s">
        <v>2227</v>
      </c>
      <c r="T134" s="4" t="s">
        <v>2228</v>
      </c>
      <c r="U134" s="4" t="s">
        <v>2229</v>
      </c>
      <c r="V134" s="4" t="s">
        <v>25</v>
      </c>
      <c r="W134" s="4" t="s">
        <v>2278</v>
      </c>
      <c r="X134" s="4" t="s">
        <v>2224</v>
      </c>
      <c r="Y134" s="4" t="s">
        <v>2449</v>
      </c>
      <c r="Z134" s="6">
        <v>10710.1538</v>
      </c>
      <c r="AA134" s="6">
        <v>128521.85</v>
      </c>
      <c r="AB134" s="4" t="s">
        <v>2232</v>
      </c>
      <c r="AC134" s="7" t="s">
        <v>2224</v>
      </c>
    </row>
    <row r="135" spans="1:29" ht="15" customHeight="1" collapsed="1" thickBot="1" x14ac:dyDescent="0.3">
      <c r="A135" s="20" t="str">
        <f>CONCATENATE("154"," - ","MISS", " ","Natasha"," ", "Fok")</f>
        <v>154 - MISS Natasha Fok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2"/>
    </row>
    <row r="136" spans="1:29" ht="15" hidden="1" customHeight="1" outlineLevel="1" thickBot="1" x14ac:dyDescent="0.3">
      <c r="A136" s="4" t="s">
        <v>2450</v>
      </c>
      <c r="B136" s="4" t="s">
        <v>490</v>
      </c>
      <c r="C136" s="4" t="s">
        <v>2220</v>
      </c>
      <c r="D136" s="5">
        <v>42962.549999999996</v>
      </c>
      <c r="E136" s="4" t="s">
        <v>2221</v>
      </c>
      <c r="F136" s="4" t="s">
        <v>2222</v>
      </c>
      <c r="G136" s="4" t="s">
        <v>2234</v>
      </c>
      <c r="H136" s="4" t="s">
        <v>1712</v>
      </c>
      <c r="I136" s="4" t="s">
        <v>1439</v>
      </c>
      <c r="J136" s="4" t="s">
        <v>1711</v>
      </c>
      <c r="K136" s="5">
        <v>32229</v>
      </c>
      <c r="L136" s="4" t="s">
        <v>2451</v>
      </c>
      <c r="M136" s="4" t="s">
        <v>9</v>
      </c>
      <c r="N136" s="5">
        <v>41928</v>
      </c>
      <c r="O136" s="5" t="s">
        <v>2224</v>
      </c>
      <c r="P136" s="4" t="s">
        <v>2224</v>
      </c>
      <c r="Q136" s="4" t="s">
        <v>2452</v>
      </c>
      <c r="R136" s="4" t="s">
        <v>2226</v>
      </c>
      <c r="S136" s="4" t="s">
        <v>2227</v>
      </c>
      <c r="T136" s="4" t="s">
        <v>2228</v>
      </c>
      <c r="U136" s="4" t="s">
        <v>2237</v>
      </c>
      <c r="V136" s="4" t="s">
        <v>8</v>
      </c>
      <c r="W136" s="4" t="s">
        <v>2278</v>
      </c>
      <c r="X136" s="4" t="s">
        <v>2224</v>
      </c>
      <c r="Y136" s="4" t="s">
        <v>2239</v>
      </c>
      <c r="Z136" s="6">
        <v>16282.72</v>
      </c>
      <c r="AA136" s="6">
        <v>195392.64000000001</v>
      </c>
      <c r="AB136" s="4" t="s">
        <v>2232</v>
      </c>
      <c r="AC136" s="7" t="s">
        <v>2224</v>
      </c>
    </row>
    <row r="137" spans="1:29" ht="15" customHeight="1" collapsed="1" thickBot="1" x14ac:dyDescent="0.3">
      <c r="A137" s="20" t="str">
        <f>CONCATENATE("155"," - ","MR", " ","THEMBANI"," ", "FOLOSHE")</f>
        <v>155 - MR THEMBANI FOLOSHE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2"/>
    </row>
    <row r="138" spans="1:29" ht="15" hidden="1" customHeight="1" outlineLevel="1" thickBot="1" x14ac:dyDescent="0.3">
      <c r="A138" s="4" t="s">
        <v>2453</v>
      </c>
      <c r="B138" s="4" t="s">
        <v>150</v>
      </c>
      <c r="C138" s="4" t="s">
        <v>2220</v>
      </c>
      <c r="D138" s="5">
        <v>42962.461805555555</v>
      </c>
      <c r="E138" s="4" t="s">
        <v>2221</v>
      </c>
      <c r="F138" s="4" t="s">
        <v>2222</v>
      </c>
      <c r="G138" s="4" t="s">
        <v>2014</v>
      </c>
      <c r="H138" s="4" t="s">
        <v>819</v>
      </c>
      <c r="I138" s="4" t="s">
        <v>1056</v>
      </c>
      <c r="J138" s="4" t="s">
        <v>1055</v>
      </c>
      <c r="K138" s="5">
        <v>28848</v>
      </c>
      <c r="L138" s="4" t="s">
        <v>2454</v>
      </c>
      <c r="M138" s="4" t="s">
        <v>9</v>
      </c>
      <c r="N138" s="5">
        <v>39387</v>
      </c>
      <c r="O138" s="5" t="s">
        <v>2224</v>
      </c>
      <c r="P138" s="4" t="s">
        <v>2224</v>
      </c>
      <c r="Q138" s="4" t="s">
        <v>2455</v>
      </c>
      <c r="R138" s="4" t="s">
        <v>2226</v>
      </c>
      <c r="S138" s="4" t="s">
        <v>2227</v>
      </c>
      <c r="T138" s="4" t="s">
        <v>2228</v>
      </c>
      <c r="U138" s="4" t="s">
        <v>2229</v>
      </c>
      <c r="V138" s="4" t="s">
        <v>25</v>
      </c>
      <c r="W138" s="4" t="s">
        <v>2278</v>
      </c>
      <c r="X138" s="4" t="s">
        <v>2224</v>
      </c>
      <c r="Y138" s="4" t="s">
        <v>2231</v>
      </c>
      <c r="Z138" s="6">
        <v>17112.251499999998</v>
      </c>
      <c r="AA138" s="6">
        <v>205347.02</v>
      </c>
      <c r="AB138" s="4" t="s">
        <v>2232</v>
      </c>
      <c r="AC138" s="7" t="s">
        <v>2224</v>
      </c>
    </row>
    <row r="139" spans="1:29" ht="15" customHeight="1" collapsed="1" thickBot="1" x14ac:dyDescent="0.3">
      <c r="A139" s="20" t="str">
        <f>CONCATENATE("156"," - ","MISS", " ","Kym-Casey"," ", "Fortuin")</f>
        <v>156 - MISS Kym-Casey Fortuin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2"/>
    </row>
    <row r="140" spans="1:29" ht="15" hidden="1" customHeight="1" outlineLevel="1" thickBot="1" x14ac:dyDescent="0.3">
      <c r="A140" s="4" t="s">
        <v>2456</v>
      </c>
      <c r="B140" s="4" t="s">
        <v>308</v>
      </c>
      <c r="C140" s="4" t="s">
        <v>2220</v>
      </c>
      <c r="D140" s="5">
        <v>42962.549999999996</v>
      </c>
      <c r="E140" s="4" t="s">
        <v>2221</v>
      </c>
      <c r="F140" s="4" t="s">
        <v>2222</v>
      </c>
      <c r="G140" s="4" t="s">
        <v>2234</v>
      </c>
      <c r="H140" s="4" t="s">
        <v>1359</v>
      </c>
      <c r="I140" s="4" t="s">
        <v>1360</v>
      </c>
      <c r="J140" s="4" t="s">
        <v>1358</v>
      </c>
      <c r="K140" s="5">
        <v>33388</v>
      </c>
      <c r="L140" s="4" t="s">
        <v>2457</v>
      </c>
      <c r="M140" s="4" t="s">
        <v>9</v>
      </c>
      <c r="N140" s="5">
        <v>41092</v>
      </c>
      <c r="O140" s="5" t="s">
        <v>2224</v>
      </c>
      <c r="P140" s="4" t="s">
        <v>2224</v>
      </c>
      <c r="Q140" s="4" t="s">
        <v>2458</v>
      </c>
      <c r="R140" s="4" t="s">
        <v>2226</v>
      </c>
      <c r="S140" s="4" t="s">
        <v>2227</v>
      </c>
      <c r="T140" s="4" t="s">
        <v>2228</v>
      </c>
      <c r="U140" s="4" t="s">
        <v>2237</v>
      </c>
      <c r="V140" s="4" t="s">
        <v>125</v>
      </c>
      <c r="W140" s="4" t="s">
        <v>2230</v>
      </c>
      <c r="X140" s="4" t="s">
        <v>2224</v>
      </c>
      <c r="Y140" s="4" t="s">
        <v>2239</v>
      </c>
      <c r="Z140" s="6">
        <v>20904.989600000001</v>
      </c>
      <c r="AA140" s="6">
        <v>250859.88</v>
      </c>
      <c r="AB140" s="4" t="s">
        <v>2232</v>
      </c>
      <c r="AC140" s="7" t="s">
        <v>2224</v>
      </c>
    </row>
    <row r="141" spans="1:29" ht="15" customHeight="1" collapsed="1" thickBot="1" x14ac:dyDescent="0.3">
      <c r="A141" s="20" t="str">
        <f>CONCATENATE("157"," - ","MISS", " ","Jaymie-Lee"," ", "Fortune")</f>
        <v>157 - MISS Jaymie-Lee Fortune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2"/>
    </row>
    <row r="142" spans="1:29" ht="15" hidden="1" customHeight="1" outlineLevel="1" thickBot="1" x14ac:dyDescent="0.3">
      <c r="A142" s="4" t="s">
        <v>2459</v>
      </c>
      <c r="B142" s="4" t="s">
        <v>591</v>
      </c>
      <c r="C142" s="4" t="s">
        <v>2220</v>
      </c>
      <c r="D142" s="5">
        <v>42962.549999999996</v>
      </c>
      <c r="E142" s="4" t="s">
        <v>2221</v>
      </c>
      <c r="F142" s="4" t="s">
        <v>2222</v>
      </c>
      <c r="G142" s="4" t="s">
        <v>2234</v>
      </c>
      <c r="H142" s="4" t="s">
        <v>888</v>
      </c>
      <c r="I142" s="4" t="s">
        <v>1896</v>
      </c>
      <c r="J142" s="4" t="s">
        <v>1083</v>
      </c>
      <c r="K142" s="5">
        <v>34336</v>
      </c>
      <c r="L142" s="4" t="s">
        <v>2460</v>
      </c>
      <c r="M142" s="4" t="s">
        <v>9</v>
      </c>
      <c r="N142" s="5">
        <v>42135</v>
      </c>
      <c r="O142" s="5" t="s">
        <v>2224</v>
      </c>
      <c r="P142" s="4" t="s">
        <v>2224</v>
      </c>
      <c r="Q142" s="4" t="s">
        <v>2461</v>
      </c>
      <c r="R142" s="4" t="s">
        <v>2226</v>
      </c>
      <c r="S142" s="4" t="s">
        <v>2227</v>
      </c>
      <c r="T142" s="4" t="s">
        <v>2228</v>
      </c>
      <c r="U142" s="4" t="s">
        <v>2237</v>
      </c>
      <c r="V142" s="4" t="s">
        <v>8</v>
      </c>
      <c r="W142" s="4" t="s">
        <v>2278</v>
      </c>
      <c r="X142" s="4" t="s">
        <v>2224</v>
      </c>
      <c r="Y142" s="4" t="s">
        <v>2239</v>
      </c>
      <c r="Z142" s="6">
        <v>16282.72</v>
      </c>
      <c r="AA142" s="6">
        <v>195392.64000000001</v>
      </c>
      <c r="AB142" s="4" t="s">
        <v>2232</v>
      </c>
      <c r="AC142" s="7" t="s">
        <v>2224</v>
      </c>
    </row>
    <row r="143" spans="1:29" ht="15" customHeight="1" collapsed="1" thickBot="1" x14ac:dyDescent="0.3">
      <c r="A143" s="20" t="str">
        <f>CONCATENATE("158"," - ","MISS", " ","Gillian"," ", "Fredericks")</f>
        <v>158 - MISS Gillian Fredericks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2"/>
    </row>
    <row r="144" spans="1:29" ht="15" hidden="1" customHeight="1" outlineLevel="1" thickBot="1" x14ac:dyDescent="0.3">
      <c r="A144" s="4" t="s">
        <v>2462</v>
      </c>
      <c r="B144" s="4" t="s">
        <v>81</v>
      </c>
      <c r="C144" s="4" t="s">
        <v>2220</v>
      </c>
      <c r="D144" s="5">
        <v>42962.461111111108</v>
      </c>
      <c r="E144" s="4" t="s">
        <v>2221</v>
      </c>
      <c r="F144" s="4" t="s">
        <v>2222</v>
      </c>
      <c r="G144" s="4" t="s">
        <v>2234</v>
      </c>
      <c r="H144" s="4" t="s">
        <v>919</v>
      </c>
      <c r="I144" s="4" t="s">
        <v>920</v>
      </c>
      <c r="J144" s="4" t="s">
        <v>918</v>
      </c>
      <c r="K144" s="5">
        <v>30583</v>
      </c>
      <c r="L144" s="4" t="s">
        <v>2463</v>
      </c>
      <c r="M144" s="4" t="s">
        <v>9</v>
      </c>
      <c r="N144" s="5">
        <v>39020</v>
      </c>
      <c r="O144" s="5" t="s">
        <v>2224</v>
      </c>
      <c r="P144" s="4" t="s">
        <v>2224</v>
      </c>
      <c r="Q144" s="4" t="s">
        <v>2464</v>
      </c>
      <c r="R144" s="4" t="s">
        <v>2226</v>
      </c>
      <c r="S144" s="4" t="s">
        <v>2227</v>
      </c>
      <c r="T144" s="4" t="s">
        <v>2228</v>
      </c>
      <c r="U144" s="4" t="s">
        <v>2229</v>
      </c>
      <c r="V144" s="4" t="s">
        <v>25</v>
      </c>
      <c r="W144" s="4" t="s">
        <v>2278</v>
      </c>
      <c r="X144" s="4" t="s">
        <v>2224</v>
      </c>
      <c r="Y144" s="4" t="s">
        <v>2380</v>
      </c>
      <c r="Z144" s="6">
        <v>17112.2621</v>
      </c>
      <c r="AA144" s="6">
        <v>205347.15</v>
      </c>
      <c r="AB144" s="4" t="s">
        <v>2232</v>
      </c>
      <c r="AC144" s="7" t="s">
        <v>2224</v>
      </c>
    </row>
    <row r="145" spans="1:29" ht="15" customHeight="1" collapsed="1" thickBot="1" x14ac:dyDescent="0.3">
      <c r="A145" s="20" t="str">
        <f>CONCATENATE("159"," - ","MRS", " ","Laetisia"," ", "Fusa")</f>
        <v>159 - MRS Laetisia Fusa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2"/>
    </row>
    <row r="146" spans="1:29" ht="15" hidden="1" customHeight="1" outlineLevel="1" thickBot="1" x14ac:dyDescent="0.3">
      <c r="A146" s="4" t="s">
        <v>2465</v>
      </c>
      <c r="B146" s="4" t="s">
        <v>323</v>
      </c>
      <c r="C146" s="4" t="s">
        <v>2220</v>
      </c>
      <c r="D146" s="5">
        <v>42962.461805555555</v>
      </c>
      <c r="E146" s="4" t="s">
        <v>2221</v>
      </c>
      <c r="F146" s="4" t="s">
        <v>2222</v>
      </c>
      <c r="G146" s="4" t="s">
        <v>2280</v>
      </c>
      <c r="H146" s="4" t="s">
        <v>1105</v>
      </c>
      <c r="I146" s="4" t="s">
        <v>1388</v>
      </c>
      <c r="J146" s="4" t="s">
        <v>1387</v>
      </c>
      <c r="K146" s="5">
        <v>19866</v>
      </c>
      <c r="L146" s="4" t="s">
        <v>2466</v>
      </c>
      <c r="M146" s="4" t="s">
        <v>9</v>
      </c>
      <c r="N146" s="5">
        <v>41248</v>
      </c>
      <c r="O146" s="5" t="s">
        <v>2224</v>
      </c>
      <c r="P146" s="4" t="s">
        <v>2224</v>
      </c>
      <c r="Q146" s="4" t="s">
        <v>2467</v>
      </c>
      <c r="R146" s="4" t="s">
        <v>2226</v>
      </c>
      <c r="S146" s="4" t="s">
        <v>2227</v>
      </c>
      <c r="T146" s="4" t="s">
        <v>2228</v>
      </c>
      <c r="U146" s="4" t="s">
        <v>2248</v>
      </c>
      <c r="V146" s="4" t="s">
        <v>252</v>
      </c>
      <c r="W146" s="4" t="s">
        <v>2468</v>
      </c>
      <c r="X146" s="4" t="s">
        <v>2224</v>
      </c>
      <c r="Y146" s="4" t="s">
        <v>2469</v>
      </c>
      <c r="Z146" s="6">
        <v>2645.9412000000002</v>
      </c>
      <c r="AA146" s="6">
        <v>31751.29</v>
      </c>
      <c r="AB146" s="4" t="s">
        <v>2232</v>
      </c>
      <c r="AC146" s="7" t="s">
        <v>2224</v>
      </c>
    </row>
    <row r="147" spans="1:29" ht="15" customHeight="1" collapsed="1" thickBot="1" x14ac:dyDescent="0.3">
      <c r="A147" s="20" t="str">
        <f>CONCATENATE("160"," - ","MISS", " ","NOMBULELO"," ", "Fuzani")</f>
        <v>160 - MISS NOMBULELO Fuzani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2"/>
    </row>
    <row r="148" spans="1:29" ht="15" hidden="1" customHeight="1" outlineLevel="1" thickBot="1" x14ac:dyDescent="0.3">
      <c r="A148" s="4" t="s">
        <v>2470</v>
      </c>
      <c r="B148" s="4" t="s">
        <v>151</v>
      </c>
      <c r="C148" s="4" t="s">
        <v>2220</v>
      </c>
      <c r="D148" s="5">
        <v>42962.550694444442</v>
      </c>
      <c r="E148" s="4" t="s">
        <v>2221</v>
      </c>
      <c r="F148" s="4" t="s">
        <v>2222</v>
      </c>
      <c r="G148" s="4" t="s">
        <v>2234</v>
      </c>
      <c r="H148" s="4" t="s">
        <v>797</v>
      </c>
      <c r="I148" s="4" t="s">
        <v>1058</v>
      </c>
      <c r="J148" s="4" t="s">
        <v>1057</v>
      </c>
      <c r="K148" s="5">
        <v>30575</v>
      </c>
      <c r="L148" s="4" t="s">
        <v>2471</v>
      </c>
      <c r="M148" s="4" t="s">
        <v>9</v>
      </c>
      <c r="N148" s="5">
        <v>39387</v>
      </c>
      <c r="O148" s="5" t="s">
        <v>2224</v>
      </c>
      <c r="P148" s="4" t="s">
        <v>2224</v>
      </c>
      <c r="Q148" s="4" t="s">
        <v>2472</v>
      </c>
      <c r="R148" s="4" t="s">
        <v>2226</v>
      </c>
      <c r="S148" s="4" t="s">
        <v>2227</v>
      </c>
      <c r="T148" s="4" t="s">
        <v>2228</v>
      </c>
      <c r="U148" s="4" t="s">
        <v>2248</v>
      </c>
      <c r="V148" s="4" t="s">
        <v>152</v>
      </c>
      <c r="W148" s="4" t="s">
        <v>2249</v>
      </c>
      <c r="X148" s="4" t="s">
        <v>2224</v>
      </c>
      <c r="Y148" s="4" t="s">
        <v>2473</v>
      </c>
      <c r="Z148" s="6">
        <v>23654.354299999999</v>
      </c>
      <c r="AA148" s="6">
        <v>283852.25</v>
      </c>
      <c r="AB148" s="4" t="s">
        <v>2232</v>
      </c>
      <c r="AC148" s="7" t="s">
        <v>2224</v>
      </c>
    </row>
    <row r="149" spans="1:29" ht="15" customHeight="1" collapsed="1" thickBot="1" x14ac:dyDescent="0.3">
      <c r="A149" s="20" t="str">
        <f>CONCATENATE("161"," - ","MISS", " ","Rashequa"," ", "Gabriels")</f>
        <v>161 - MISS Rashequa Gabriels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2"/>
    </row>
    <row r="150" spans="1:29" ht="15" hidden="1" customHeight="1" outlineLevel="1" thickBot="1" x14ac:dyDescent="0.3">
      <c r="A150" s="4" t="s">
        <v>2474</v>
      </c>
      <c r="B150" s="4" t="s">
        <v>322</v>
      </c>
      <c r="C150" s="4" t="s">
        <v>2220</v>
      </c>
      <c r="D150" s="5">
        <v>42962.461805555555</v>
      </c>
      <c r="E150" s="4" t="s">
        <v>2221</v>
      </c>
      <c r="F150" s="4" t="s">
        <v>2222</v>
      </c>
      <c r="G150" s="4" t="s">
        <v>2234</v>
      </c>
      <c r="H150" s="4" t="s">
        <v>844</v>
      </c>
      <c r="I150" s="4" t="s">
        <v>1386</v>
      </c>
      <c r="J150" s="4" t="s">
        <v>1385</v>
      </c>
      <c r="K150" s="5">
        <v>30540</v>
      </c>
      <c r="L150" s="4" t="s">
        <v>2475</v>
      </c>
      <c r="M150" s="4" t="s">
        <v>9</v>
      </c>
      <c r="N150" s="5">
        <v>41239</v>
      </c>
      <c r="O150" s="5" t="s">
        <v>2224</v>
      </c>
      <c r="P150" s="4" t="s">
        <v>2224</v>
      </c>
      <c r="Q150" s="4" t="s">
        <v>2476</v>
      </c>
      <c r="R150" s="4" t="s">
        <v>2226</v>
      </c>
      <c r="S150" s="4" t="s">
        <v>2227</v>
      </c>
      <c r="T150" s="4" t="s">
        <v>2228</v>
      </c>
      <c r="U150" s="4" t="s">
        <v>2229</v>
      </c>
      <c r="V150" s="4" t="s">
        <v>17</v>
      </c>
      <c r="W150" s="4" t="s">
        <v>2230</v>
      </c>
      <c r="X150" s="4" t="s">
        <v>2224</v>
      </c>
      <c r="Y150" s="4" t="s">
        <v>2469</v>
      </c>
      <c r="Z150" s="6">
        <v>20904.990000000002</v>
      </c>
      <c r="AA150" s="6">
        <v>250859.88</v>
      </c>
      <c r="AB150" s="4" t="s">
        <v>2232</v>
      </c>
      <c r="AC150" s="7" t="s">
        <v>2224</v>
      </c>
    </row>
    <row r="151" spans="1:29" ht="15" customHeight="1" collapsed="1" thickBot="1" x14ac:dyDescent="0.3">
      <c r="A151" s="20" t="str">
        <f>CONCATENATE("164"," - ","MR", " ","Kevin"," ", "Gall")</f>
        <v>164 - MR Kevin Gall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2"/>
    </row>
    <row r="152" spans="1:29" ht="15" hidden="1" customHeight="1" outlineLevel="1" thickBot="1" x14ac:dyDescent="0.3">
      <c r="A152" s="4" t="s">
        <v>2477</v>
      </c>
      <c r="B152" s="4" t="s">
        <v>659</v>
      </c>
      <c r="C152" s="4" t="s">
        <v>2220</v>
      </c>
      <c r="D152" s="5">
        <v>42957.417361111111</v>
      </c>
      <c r="E152" s="4" t="s">
        <v>2221</v>
      </c>
      <c r="F152" s="4" t="s">
        <v>2222</v>
      </c>
      <c r="G152" s="4" t="s">
        <v>2014</v>
      </c>
      <c r="H152" s="4" t="s">
        <v>1120</v>
      </c>
      <c r="I152" s="4" t="s">
        <v>1314</v>
      </c>
      <c r="J152" s="4" t="s">
        <v>1996</v>
      </c>
      <c r="K152" s="5">
        <v>30791</v>
      </c>
      <c r="L152" s="4" t="s">
        <v>2478</v>
      </c>
      <c r="M152" s="4" t="s">
        <v>9</v>
      </c>
      <c r="N152" s="5">
        <v>42415</v>
      </c>
      <c r="O152" s="5">
        <v>42983</v>
      </c>
      <c r="P152" s="4" t="s">
        <v>2441</v>
      </c>
      <c r="Q152" s="4" t="s">
        <v>2479</v>
      </c>
      <c r="R152" s="4" t="s">
        <v>2226</v>
      </c>
      <c r="S152" s="4" t="s">
        <v>2227</v>
      </c>
      <c r="T152" s="4" t="s">
        <v>2228</v>
      </c>
      <c r="U152" s="4" t="s">
        <v>2258</v>
      </c>
      <c r="V152" s="4" t="s">
        <v>246</v>
      </c>
      <c r="W152" s="4" t="s">
        <v>2249</v>
      </c>
      <c r="X152" s="4" t="s">
        <v>2224</v>
      </c>
      <c r="Y152" s="4" t="s">
        <v>2224</v>
      </c>
      <c r="Z152" s="6">
        <v>68050.454400000002</v>
      </c>
      <c r="AA152" s="6">
        <v>816605.45</v>
      </c>
      <c r="AB152" s="4" t="s">
        <v>2232</v>
      </c>
      <c r="AC152" s="7" t="s">
        <v>2224</v>
      </c>
    </row>
    <row r="153" spans="1:29" ht="15" customHeight="1" collapsed="1" thickBot="1" x14ac:dyDescent="0.3">
      <c r="A153" s="20" t="str">
        <f>CONCATENATE("165"," - ","MISS", " ","Phumelele"," ", "Gama")</f>
        <v>165 - MISS Phumelele Gama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2"/>
    </row>
    <row r="154" spans="1:29" ht="15" hidden="1" customHeight="1" outlineLevel="1" thickBot="1" x14ac:dyDescent="0.3">
      <c r="A154" s="4" t="s">
        <v>2480</v>
      </c>
      <c r="B154" s="4" t="s">
        <v>218</v>
      </c>
      <c r="C154" s="4" t="s">
        <v>2220</v>
      </c>
      <c r="D154" s="5">
        <v>42962.461111111108</v>
      </c>
      <c r="E154" s="4" t="s">
        <v>2221</v>
      </c>
      <c r="F154" s="4" t="s">
        <v>2222</v>
      </c>
      <c r="G154" s="4" t="s">
        <v>2234</v>
      </c>
      <c r="H154" s="4" t="s">
        <v>1196</v>
      </c>
      <c r="I154" s="4" t="s">
        <v>1197</v>
      </c>
      <c r="J154" s="4" t="s">
        <v>1195</v>
      </c>
      <c r="K154" s="5">
        <v>30545</v>
      </c>
      <c r="L154" s="4" t="s">
        <v>2481</v>
      </c>
      <c r="M154" s="4" t="s">
        <v>9</v>
      </c>
      <c r="N154" s="5">
        <v>40148</v>
      </c>
      <c r="O154" s="5" t="s">
        <v>2224</v>
      </c>
      <c r="P154" s="4" t="s">
        <v>2224</v>
      </c>
      <c r="Q154" s="4" t="s">
        <v>2482</v>
      </c>
      <c r="R154" s="4" t="s">
        <v>2226</v>
      </c>
      <c r="S154" s="4" t="s">
        <v>2227</v>
      </c>
      <c r="T154" s="4" t="s">
        <v>2228</v>
      </c>
      <c r="U154" s="4" t="s">
        <v>2229</v>
      </c>
      <c r="V154" s="4" t="s">
        <v>17</v>
      </c>
      <c r="W154" s="4" t="s">
        <v>2278</v>
      </c>
      <c r="X154" s="4" t="s">
        <v>2224</v>
      </c>
      <c r="Y154" s="4" t="s">
        <v>2321</v>
      </c>
      <c r="Z154" s="6">
        <v>19891.599999999999</v>
      </c>
      <c r="AA154" s="6">
        <v>238699.2</v>
      </c>
      <c r="AB154" s="4" t="s">
        <v>2232</v>
      </c>
      <c r="AC154" s="7" t="s">
        <v>2224</v>
      </c>
    </row>
    <row r="155" spans="1:29" ht="15" customHeight="1" collapsed="1" thickBot="1" x14ac:dyDescent="0.3">
      <c r="A155" s="20" t="str">
        <f>CONCATENATE("166"," - ","MS", " ","Khanyisile"," ", "Gamede")</f>
        <v>166 - MS Khanyisile Gamede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2"/>
    </row>
    <row r="156" spans="1:29" ht="15" hidden="1" customHeight="1" outlineLevel="1" thickBot="1" x14ac:dyDescent="0.3">
      <c r="A156" s="4" t="s">
        <v>2483</v>
      </c>
      <c r="B156" s="4" t="s">
        <v>602</v>
      </c>
      <c r="C156" s="4" t="s">
        <v>2220</v>
      </c>
      <c r="D156" s="5">
        <v>42961.340277777774</v>
      </c>
      <c r="E156" s="4" t="s">
        <v>2221</v>
      </c>
      <c r="F156" s="4" t="s">
        <v>2222</v>
      </c>
      <c r="G156" s="4" t="s">
        <v>813</v>
      </c>
      <c r="H156" s="4" t="s">
        <v>1120</v>
      </c>
      <c r="I156" s="4" t="s">
        <v>1912</v>
      </c>
      <c r="J156" s="4" t="s">
        <v>1911</v>
      </c>
      <c r="K156" s="5">
        <v>33671</v>
      </c>
      <c r="L156" s="4" t="s">
        <v>2484</v>
      </c>
      <c r="M156" s="4" t="s">
        <v>9</v>
      </c>
      <c r="N156" s="5">
        <v>41508</v>
      </c>
      <c r="O156" s="5" t="s">
        <v>2224</v>
      </c>
      <c r="P156" s="4" t="s">
        <v>2224</v>
      </c>
      <c r="Q156" s="4" t="s">
        <v>2485</v>
      </c>
      <c r="R156" s="4" t="s">
        <v>2226</v>
      </c>
      <c r="S156" s="4" t="s">
        <v>2227</v>
      </c>
      <c r="T156" s="4" t="s">
        <v>2228</v>
      </c>
      <c r="U156" s="4" t="s">
        <v>2229</v>
      </c>
      <c r="V156" s="4" t="s">
        <v>25</v>
      </c>
      <c r="W156" s="4" t="s">
        <v>2278</v>
      </c>
      <c r="X156" s="4" t="s">
        <v>2224</v>
      </c>
      <c r="Y156" s="4" t="s">
        <v>2384</v>
      </c>
      <c r="Z156" s="6">
        <v>11116.82</v>
      </c>
      <c r="AA156" s="6">
        <v>133401.84</v>
      </c>
      <c r="AB156" s="4" t="s">
        <v>2232</v>
      </c>
      <c r="AC156" s="7" t="s">
        <v>2224</v>
      </c>
    </row>
    <row r="157" spans="1:29" ht="15" customHeight="1" collapsed="1" thickBot="1" x14ac:dyDescent="0.3">
      <c r="A157" s="20" t="str">
        <f>CONCATENATE("168"," - ","MISS", " ","Megan"," ", "Glancey")</f>
        <v>168 - MISS Megan Glancey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2"/>
    </row>
    <row r="158" spans="1:29" ht="15" hidden="1" customHeight="1" outlineLevel="1" thickBot="1" x14ac:dyDescent="0.3">
      <c r="A158" s="4" t="s">
        <v>2486</v>
      </c>
      <c r="B158" s="4" t="s">
        <v>295</v>
      </c>
      <c r="C158" s="4" t="s">
        <v>2220</v>
      </c>
      <c r="D158" s="5">
        <v>42963.284722222219</v>
      </c>
      <c r="E158" s="4" t="s">
        <v>2221</v>
      </c>
      <c r="F158" s="4" t="s">
        <v>2222</v>
      </c>
      <c r="G158" s="4" t="s">
        <v>2234</v>
      </c>
      <c r="H158" s="4" t="s">
        <v>1341</v>
      </c>
      <c r="I158" s="4" t="s">
        <v>1340</v>
      </c>
      <c r="J158" s="4" t="s">
        <v>1339</v>
      </c>
      <c r="K158" s="5">
        <v>31268</v>
      </c>
      <c r="L158" s="4" t="s">
        <v>2487</v>
      </c>
      <c r="M158" s="4" t="s">
        <v>9</v>
      </c>
      <c r="N158" s="5">
        <v>41579</v>
      </c>
      <c r="O158" s="5" t="s">
        <v>2224</v>
      </c>
      <c r="P158" s="4" t="s">
        <v>2224</v>
      </c>
      <c r="Q158" s="4" t="s">
        <v>2488</v>
      </c>
      <c r="R158" s="4" t="s">
        <v>2226</v>
      </c>
      <c r="S158" s="4" t="s">
        <v>2227</v>
      </c>
      <c r="T158" s="4" t="s">
        <v>2228</v>
      </c>
      <c r="U158" s="4" t="s">
        <v>2258</v>
      </c>
      <c r="V158" s="4" t="s">
        <v>246</v>
      </c>
      <c r="W158" s="4" t="s">
        <v>2249</v>
      </c>
      <c r="X158" s="4" t="s">
        <v>2224</v>
      </c>
      <c r="Y158" s="4" t="s">
        <v>2259</v>
      </c>
      <c r="Z158" s="6">
        <v>70799.691600000006</v>
      </c>
      <c r="AA158" s="6">
        <v>849596.3</v>
      </c>
      <c r="AB158" s="4" t="s">
        <v>2232</v>
      </c>
      <c r="AC158" s="7" t="s">
        <v>2224</v>
      </c>
    </row>
    <row r="159" spans="1:29" ht="15" customHeight="1" collapsed="1" thickBot="1" x14ac:dyDescent="0.3">
      <c r="A159" s="20" t="str">
        <f>CONCATENATE("169"," - ","MISS", " ","Phozisa"," ", "Gogela")</f>
        <v>169 - MISS Phozisa Gogela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2"/>
    </row>
    <row r="160" spans="1:29" ht="15" hidden="1" customHeight="1" outlineLevel="1" thickBot="1" x14ac:dyDescent="0.3">
      <c r="A160" s="4" t="s">
        <v>2489</v>
      </c>
      <c r="B160" s="4" t="s">
        <v>282</v>
      </c>
      <c r="C160" s="4" t="s">
        <v>2220</v>
      </c>
      <c r="D160" s="5">
        <v>42962.461805555555</v>
      </c>
      <c r="E160" s="4" t="s">
        <v>2221</v>
      </c>
      <c r="F160" s="4" t="s">
        <v>2222</v>
      </c>
      <c r="G160" s="4" t="s">
        <v>2234</v>
      </c>
      <c r="H160" s="4" t="s">
        <v>781</v>
      </c>
      <c r="I160" s="4" t="s">
        <v>1318</v>
      </c>
      <c r="J160" s="4" t="s">
        <v>1317</v>
      </c>
      <c r="K160" s="5">
        <v>32296</v>
      </c>
      <c r="L160" s="4" t="s">
        <v>2490</v>
      </c>
      <c r="M160" s="4" t="s">
        <v>9</v>
      </c>
      <c r="N160" s="5">
        <v>40819</v>
      </c>
      <c r="O160" s="5" t="s">
        <v>2224</v>
      </c>
      <c r="P160" s="4" t="s">
        <v>2224</v>
      </c>
      <c r="Q160" s="4" t="s">
        <v>2491</v>
      </c>
      <c r="R160" s="4" t="s">
        <v>2226</v>
      </c>
      <c r="S160" s="4" t="s">
        <v>2227</v>
      </c>
      <c r="T160" s="4" t="s">
        <v>2228</v>
      </c>
      <c r="U160" s="4" t="s">
        <v>2229</v>
      </c>
      <c r="V160" s="4" t="s">
        <v>25</v>
      </c>
      <c r="W160" s="4" t="s">
        <v>2278</v>
      </c>
      <c r="X160" s="4" t="s">
        <v>2224</v>
      </c>
      <c r="Y160" s="4" t="s">
        <v>2231</v>
      </c>
      <c r="Z160" s="6">
        <v>16486.2572</v>
      </c>
      <c r="AA160" s="6">
        <v>197835.09</v>
      </c>
      <c r="AB160" s="4" t="s">
        <v>2232</v>
      </c>
      <c r="AC160" s="7" t="s">
        <v>2224</v>
      </c>
    </row>
    <row r="161" spans="1:29" ht="15" customHeight="1" collapsed="1" thickBot="1" x14ac:dyDescent="0.3">
      <c r="A161" s="20" t="str">
        <f>CONCATENATE("170"," - ","MISS", " ","SHERILEE"," ", "GOLIATH")</f>
        <v>170 - MISS SHERILEE GOLIATH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2"/>
    </row>
    <row r="162" spans="1:29" ht="15" hidden="1" customHeight="1" outlineLevel="1" thickBot="1" x14ac:dyDescent="0.3">
      <c r="A162" s="4" t="s">
        <v>2492</v>
      </c>
      <c r="B162" s="4" t="s">
        <v>153</v>
      </c>
      <c r="C162" s="4" t="s">
        <v>2220</v>
      </c>
      <c r="D162" s="5">
        <v>42962.461111111108</v>
      </c>
      <c r="E162" s="4" t="s">
        <v>2221</v>
      </c>
      <c r="F162" s="4" t="s">
        <v>2222</v>
      </c>
      <c r="G162" s="4" t="s">
        <v>2234</v>
      </c>
      <c r="H162" s="4" t="s">
        <v>800</v>
      </c>
      <c r="I162" s="4" t="s">
        <v>1060</v>
      </c>
      <c r="J162" s="4" t="s">
        <v>1059</v>
      </c>
      <c r="K162" s="5">
        <v>31294</v>
      </c>
      <c r="L162" s="4" t="s">
        <v>2493</v>
      </c>
      <c r="M162" s="4" t="s">
        <v>9</v>
      </c>
      <c r="N162" s="5">
        <v>39387</v>
      </c>
      <c r="O162" s="5" t="s">
        <v>2224</v>
      </c>
      <c r="P162" s="4" t="s">
        <v>2224</v>
      </c>
      <c r="Q162" s="4" t="s">
        <v>2494</v>
      </c>
      <c r="R162" s="4" t="s">
        <v>2226</v>
      </c>
      <c r="S162" s="4" t="s">
        <v>2227</v>
      </c>
      <c r="T162" s="4" t="s">
        <v>2228</v>
      </c>
      <c r="U162" s="4" t="s">
        <v>2229</v>
      </c>
      <c r="V162" s="4" t="s">
        <v>17</v>
      </c>
      <c r="W162" s="4" t="s">
        <v>2230</v>
      </c>
      <c r="X162" s="4" t="s">
        <v>2224</v>
      </c>
      <c r="Y162" s="4" t="s">
        <v>2380</v>
      </c>
      <c r="Z162" s="6">
        <v>19891.612099999998</v>
      </c>
      <c r="AA162" s="6">
        <v>238699.35</v>
      </c>
      <c r="AB162" s="4" t="s">
        <v>2232</v>
      </c>
      <c r="AC162" s="7" t="s">
        <v>2224</v>
      </c>
    </row>
    <row r="163" spans="1:29" ht="15" customHeight="1" collapsed="1" thickBot="1" x14ac:dyDescent="0.3">
      <c r="A163" s="20" t="str">
        <f>CONCATENATE("171"," - ","MR", " ","Deon"," ", "Gordon")</f>
        <v>171 - MR Deon Gordon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2"/>
    </row>
    <row r="164" spans="1:29" ht="15" hidden="1" customHeight="1" outlineLevel="1" thickBot="1" x14ac:dyDescent="0.3">
      <c r="A164" s="4" t="s">
        <v>2495</v>
      </c>
      <c r="B164" s="4" t="s">
        <v>584</v>
      </c>
      <c r="C164" s="4" t="s">
        <v>2220</v>
      </c>
      <c r="D164" s="5">
        <v>42962.461111111108</v>
      </c>
      <c r="E164" s="4" t="s">
        <v>2221</v>
      </c>
      <c r="F164" s="4" t="s">
        <v>2222</v>
      </c>
      <c r="G164" s="4" t="s">
        <v>2014</v>
      </c>
      <c r="H164" s="4" t="s">
        <v>1739</v>
      </c>
      <c r="I164" s="4" t="s">
        <v>1884</v>
      </c>
      <c r="J164" s="4" t="s">
        <v>806</v>
      </c>
      <c r="K164" s="5">
        <v>25484</v>
      </c>
      <c r="L164" s="4" t="s">
        <v>2496</v>
      </c>
      <c r="M164" s="4" t="s">
        <v>9</v>
      </c>
      <c r="N164" s="5">
        <v>42135</v>
      </c>
      <c r="O164" s="5" t="s">
        <v>2224</v>
      </c>
      <c r="P164" s="4" t="s">
        <v>2224</v>
      </c>
      <c r="Q164" s="4" t="s">
        <v>2497</v>
      </c>
      <c r="R164" s="4" t="s">
        <v>2226</v>
      </c>
      <c r="S164" s="4" t="s">
        <v>2227</v>
      </c>
      <c r="T164" s="4" t="s">
        <v>2228</v>
      </c>
      <c r="U164" s="4" t="s">
        <v>2229</v>
      </c>
      <c r="V164" s="4" t="s">
        <v>25</v>
      </c>
      <c r="W164" s="4" t="s">
        <v>2278</v>
      </c>
      <c r="X164" s="4" t="s">
        <v>2224</v>
      </c>
      <c r="Y164" s="4" t="s">
        <v>2380</v>
      </c>
      <c r="Z164" s="6">
        <v>10710.1538</v>
      </c>
      <c r="AA164" s="6">
        <v>128521.85</v>
      </c>
      <c r="AB164" s="4" t="s">
        <v>2232</v>
      </c>
      <c r="AC164" s="7" t="s">
        <v>2224</v>
      </c>
    </row>
    <row r="165" spans="1:29" ht="15" customHeight="1" collapsed="1" thickBot="1" x14ac:dyDescent="0.3">
      <c r="A165" s="20" t="str">
        <f>CONCATENATE("172"," - ","MS", " ","Divashnee"," ", "Govender")</f>
        <v>172 - MS Divashnee Govender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2"/>
    </row>
    <row r="166" spans="1:29" ht="15" hidden="1" customHeight="1" outlineLevel="1" thickBot="1" x14ac:dyDescent="0.3">
      <c r="A166" s="4" t="s">
        <v>2498</v>
      </c>
      <c r="B166" s="4" t="s">
        <v>694</v>
      </c>
      <c r="C166" s="4" t="s">
        <v>2220</v>
      </c>
      <c r="D166" s="5">
        <v>42962.549999999996</v>
      </c>
      <c r="E166" s="4" t="s">
        <v>2221</v>
      </c>
      <c r="F166" s="4" t="s">
        <v>2222</v>
      </c>
      <c r="G166" s="4" t="s">
        <v>813</v>
      </c>
      <c r="H166" s="4" t="s">
        <v>1187</v>
      </c>
      <c r="I166" s="4" t="s">
        <v>2055</v>
      </c>
      <c r="J166" s="4" t="s">
        <v>1234</v>
      </c>
      <c r="K166" s="5">
        <v>35211</v>
      </c>
      <c r="L166" s="4" t="s">
        <v>2499</v>
      </c>
      <c r="M166" s="4" t="s">
        <v>9</v>
      </c>
      <c r="N166" s="5">
        <v>42494</v>
      </c>
      <c r="O166" s="5" t="s">
        <v>2224</v>
      </c>
      <c r="P166" s="4" t="s">
        <v>2224</v>
      </c>
      <c r="Q166" s="4" t="s">
        <v>2500</v>
      </c>
      <c r="R166" s="4" t="s">
        <v>2226</v>
      </c>
      <c r="S166" s="4" t="s">
        <v>2227</v>
      </c>
      <c r="T166" s="4" t="s">
        <v>2228</v>
      </c>
      <c r="U166" s="4" t="s">
        <v>2237</v>
      </c>
      <c r="V166" s="4" t="s">
        <v>125</v>
      </c>
      <c r="W166" s="4" t="s">
        <v>2278</v>
      </c>
      <c r="X166" s="4" t="s">
        <v>2224</v>
      </c>
      <c r="Y166" s="4" t="s">
        <v>2239</v>
      </c>
      <c r="Z166" s="6">
        <v>16081.7</v>
      </c>
      <c r="AA166" s="6">
        <v>192980.4</v>
      </c>
      <c r="AB166" s="4" t="s">
        <v>2232</v>
      </c>
      <c r="AC166" s="7" t="s">
        <v>2224</v>
      </c>
    </row>
    <row r="167" spans="1:29" ht="15" customHeight="1" collapsed="1" thickBot="1" x14ac:dyDescent="0.3">
      <c r="A167" s="20" t="str">
        <f>CONCATENATE("173"," - ","MR", " ","Harold"," ", "Govender")</f>
        <v>173 - MR Harold Govender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2"/>
    </row>
    <row r="168" spans="1:29" ht="15" hidden="1" customHeight="1" outlineLevel="1" thickBot="1" x14ac:dyDescent="0.3">
      <c r="A168" s="4" t="s">
        <v>2501</v>
      </c>
      <c r="B168" s="4" t="s">
        <v>2502</v>
      </c>
      <c r="C168" s="4" t="s">
        <v>2220</v>
      </c>
      <c r="D168" s="5">
        <v>42948.647916666661</v>
      </c>
      <c r="E168" s="4" t="s">
        <v>2221</v>
      </c>
      <c r="F168" s="4" t="s">
        <v>2222</v>
      </c>
      <c r="G168" s="4" t="s">
        <v>2014</v>
      </c>
      <c r="H168" s="4" t="s">
        <v>832</v>
      </c>
      <c r="I168" s="4" t="s">
        <v>2503</v>
      </c>
      <c r="J168" s="4" t="s">
        <v>1234</v>
      </c>
      <c r="K168" s="5">
        <v>27232</v>
      </c>
      <c r="L168" s="4" t="s">
        <v>2504</v>
      </c>
      <c r="M168" s="4" t="s">
        <v>2505</v>
      </c>
      <c r="N168" s="5">
        <v>39055</v>
      </c>
      <c r="O168" s="5">
        <v>42808</v>
      </c>
      <c r="P168" s="4" t="s">
        <v>2506</v>
      </c>
      <c r="Q168" s="4" t="s">
        <v>2507</v>
      </c>
      <c r="R168" s="4" t="s">
        <v>2224</v>
      </c>
      <c r="S168" s="4" t="s">
        <v>2227</v>
      </c>
      <c r="T168" s="4" t="s">
        <v>2228</v>
      </c>
      <c r="U168" s="4" t="s">
        <v>2229</v>
      </c>
      <c r="V168" s="4" t="s">
        <v>116</v>
      </c>
      <c r="W168" s="4" t="s">
        <v>2249</v>
      </c>
      <c r="X168" s="4" t="s">
        <v>2224</v>
      </c>
      <c r="Y168" s="4" t="s">
        <v>2224</v>
      </c>
      <c r="Z168" s="6">
        <v>0</v>
      </c>
      <c r="AA168" s="6">
        <v>0</v>
      </c>
      <c r="AB168" s="4" t="s">
        <v>2232</v>
      </c>
      <c r="AC168" s="7" t="s">
        <v>2224</v>
      </c>
    </row>
    <row r="169" spans="1:29" ht="15" customHeight="1" collapsed="1" thickBot="1" x14ac:dyDescent="0.3">
      <c r="A169" s="20" t="str">
        <f>CONCATENATE("174"," - ","MISS", " ","Kirosha"," ", "Govender")</f>
        <v>174 - MISS Kirosha Govender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2"/>
    </row>
    <row r="170" spans="1:29" ht="15" hidden="1" customHeight="1" outlineLevel="1" thickBot="1" x14ac:dyDescent="0.3">
      <c r="A170" s="4" t="s">
        <v>2508</v>
      </c>
      <c r="B170" s="4" t="s">
        <v>367</v>
      </c>
      <c r="C170" s="4" t="s">
        <v>2220</v>
      </c>
      <c r="D170" s="5">
        <v>42962.461805555555</v>
      </c>
      <c r="E170" s="4" t="s">
        <v>2221</v>
      </c>
      <c r="F170" s="4" t="s">
        <v>2222</v>
      </c>
      <c r="G170" s="4" t="s">
        <v>2234</v>
      </c>
      <c r="H170" s="4" t="s">
        <v>1120</v>
      </c>
      <c r="I170" s="4" t="s">
        <v>1468</v>
      </c>
      <c r="J170" s="4" t="s">
        <v>1234</v>
      </c>
      <c r="K170" s="5">
        <v>30006</v>
      </c>
      <c r="L170" s="4" t="s">
        <v>2509</v>
      </c>
      <c r="M170" s="4" t="s">
        <v>9</v>
      </c>
      <c r="N170" s="5">
        <v>41365</v>
      </c>
      <c r="O170" s="5" t="s">
        <v>2224</v>
      </c>
      <c r="P170" s="4" t="s">
        <v>2224</v>
      </c>
      <c r="Q170" s="4" t="s">
        <v>2510</v>
      </c>
      <c r="R170" s="4" t="s">
        <v>2226</v>
      </c>
      <c r="S170" s="4" t="s">
        <v>2227</v>
      </c>
      <c r="T170" s="4" t="s">
        <v>2228</v>
      </c>
      <c r="U170" s="4" t="s">
        <v>2229</v>
      </c>
      <c r="V170" s="4" t="s">
        <v>25</v>
      </c>
      <c r="W170" s="4" t="s">
        <v>2278</v>
      </c>
      <c r="X170" s="4" t="s">
        <v>2224</v>
      </c>
      <c r="Y170" s="4" t="s">
        <v>2511</v>
      </c>
      <c r="Z170" s="6">
        <v>10979.575999999999</v>
      </c>
      <c r="AA170" s="6">
        <v>131754.91</v>
      </c>
      <c r="AB170" s="4" t="s">
        <v>2232</v>
      </c>
      <c r="AC170" s="7" t="s">
        <v>2224</v>
      </c>
    </row>
    <row r="171" spans="1:29" ht="15" customHeight="1" collapsed="1" thickBot="1" x14ac:dyDescent="0.3">
      <c r="A171" s="20" t="str">
        <f>CONCATENATE("175"," - ","MISS", " ","Megan"," ", "Govender")</f>
        <v>175 - MISS Megan Govender</v>
      </c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2"/>
    </row>
    <row r="172" spans="1:29" ht="15" hidden="1" customHeight="1" outlineLevel="1" thickBot="1" x14ac:dyDescent="0.3">
      <c r="A172" s="4" t="s">
        <v>2512</v>
      </c>
      <c r="B172" s="4" t="s">
        <v>516</v>
      </c>
      <c r="C172" s="4" t="s">
        <v>2220</v>
      </c>
      <c r="D172" s="5">
        <v>42962.549999999996</v>
      </c>
      <c r="E172" s="4" t="s">
        <v>2221</v>
      </c>
      <c r="F172" s="4" t="s">
        <v>2222</v>
      </c>
      <c r="G172" s="4" t="s">
        <v>2234</v>
      </c>
      <c r="H172" s="4" t="s">
        <v>823</v>
      </c>
      <c r="I172" s="4" t="s">
        <v>1340</v>
      </c>
      <c r="J172" s="4" t="s">
        <v>1234</v>
      </c>
      <c r="K172" s="5">
        <v>34691</v>
      </c>
      <c r="L172" s="4" t="s">
        <v>2513</v>
      </c>
      <c r="M172" s="4" t="s">
        <v>9</v>
      </c>
      <c r="N172" s="5">
        <v>42031</v>
      </c>
      <c r="O172" s="5" t="s">
        <v>2224</v>
      </c>
      <c r="P172" s="4" t="s">
        <v>2224</v>
      </c>
      <c r="Q172" s="4" t="s">
        <v>2514</v>
      </c>
      <c r="R172" s="4" t="s">
        <v>2226</v>
      </c>
      <c r="S172" s="4" t="s">
        <v>2227</v>
      </c>
      <c r="T172" s="4" t="s">
        <v>2228</v>
      </c>
      <c r="U172" s="4" t="s">
        <v>2237</v>
      </c>
      <c r="V172" s="4" t="s">
        <v>125</v>
      </c>
      <c r="W172" s="4" t="s">
        <v>2278</v>
      </c>
      <c r="X172" s="4" t="s">
        <v>2224</v>
      </c>
      <c r="Y172" s="4" t="s">
        <v>2239</v>
      </c>
      <c r="Z172" s="6">
        <v>16282.72</v>
      </c>
      <c r="AA172" s="6">
        <v>195392.64000000001</v>
      </c>
      <c r="AB172" s="4" t="s">
        <v>2232</v>
      </c>
      <c r="AC172" s="7" t="s">
        <v>2224</v>
      </c>
    </row>
    <row r="173" spans="1:29" ht="15" customHeight="1" collapsed="1" thickBot="1" x14ac:dyDescent="0.3">
      <c r="A173" s="20" t="str">
        <f>CONCATENATE("176"," - ","MRS", " ","Nicole"," ", "Govender")</f>
        <v>176 - MRS Nicole Govender</v>
      </c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2"/>
    </row>
    <row r="174" spans="1:29" ht="15" hidden="1" customHeight="1" outlineLevel="1" thickBot="1" x14ac:dyDescent="0.3">
      <c r="A174" s="4" t="s">
        <v>2515</v>
      </c>
      <c r="B174" s="4" t="s">
        <v>236</v>
      </c>
      <c r="C174" s="4" t="s">
        <v>2220</v>
      </c>
      <c r="D174" s="5">
        <v>42962.463194444441</v>
      </c>
      <c r="E174" s="4" t="s">
        <v>2221</v>
      </c>
      <c r="F174" s="4" t="s">
        <v>2222</v>
      </c>
      <c r="G174" s="4" t="s">
        <v>2280</v>
      </c>
      <c r="H174" s="4" t="s">
        <v>1235</v>
      </c>
      <c r="I174" s="4" t="s">
        <v>1236</v>
      </c>
      <c r="J174" s="4" t="s">
        <v>1234</v>
      </c>
      <c r="K174" s="5">
        <v>32015</v>
      </c>
      <c r="L174" s="4" t="s">
        <v>2516</v>
      </c>
      <c r="M174" s="4" t="s">
        <v>9</v>
      </c>
      <c r="N174" s="5">
        <v>40314</v>
      </c>
      <c r="O174" s="5" t="s">
        <v>2224</v>
      </c>
      <c r="P174" s="4" t="s">
        <v>2224</v>
      </c>
      <c r="Q174" s="4" t="s">
        <v>2517</v>
      </c>
      <c r="R174" s="4" t="s">
        <v>2226</v>
      </c>
      <c r="S174" s="4" t="s">
        <v>2227</v>
      </c>
      <c r="T174" s="4" t="s">
        <v>2228</v>
      </c>
      <c r="U174" s="4" t="s">
        <v>2248</v>
      </c>
      <c r="V174" s="4" t="s">
        <v>237</v>
      </c>
      <c r="W174" s="4" t="s">
        <v>2249</v>
      </c>
      <c r="X174" s="4" t="s">
        <v>2224</v>
      </c>
      <c r="Y174" s="4" t="s">
        <v>2518</v>
      </c>
      <c r="Z174" s="6">
        <v>24512.861099999998</v>
      </c>
      <c r="AA174" s="6">
        <v>294154.33</v>
      </c>
      <c r="AB174" s="4" t="s">
        <v>2232</v>
      </c>
      <c r="AC174" s="7" t="s">
        <v>2224</v>
      </c>
    </row>
    <row r="175" spans="1:29" ht="15" customHeight="1" collapsed="1" thickBot="1" x14ac:dyDescent="0.3">
      <c r="A175" s="20" t="str">
        <f>CONCATENATE("177"," - ","MISS", " ","Noorfazia"," ", "Govender")</f>
        <v>177 - MISS Noorfazia Govender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2"/>
    </row>
    <row r="176" spans="1:29" ht="15" hidden="1" customHeight="1" outlineLevel="1" thickBot="1" x14ac:dyDescent="0.3">
      <c r="A176" s="4" t="s">
        <v>2519</v>
      </c>
      <c r="B176" s="4" t="s">
        <v>383</v>
      </c>
      <c r="C176" s="4" t="s">
        <v>2220</v>
      </c>
      <c r="D176" s="5">
        <v>42962.549999999996</v>
      </c>
      <c r="E176" s="4" t="s">
        <v>2221</v>
      </c>
      <c r="F176" s="4" t="s">
        <v>2222</v>
      </c>
      <c r="G176" s="4" t="s">
        <v>2234</v>
      </c>
      <c r="H176" s="4" t="s">
        <v>797</v>
      </c>
      <c r="I176" s="4" t="s">
        <v>1496</v>
      </c>
      <c r="J176" s="4" t="s">
        <v>1234</v>
      </c>
      <c r="K176" s="5">
        <v>34224</v>
      </c>
      <c r="L176" s="4" t="s">
        <v>2520</v>
      </c>
      <c r="M176" s="4" t="s">
        <v>9</v>
      </c>
      <c r="N176" s="5">
        <v>41465</v>
      </c>
      <c r="O176" s="5" t="s">
        <v>2224</v>
      </c>
      <c r="P176" s="4" t="s">
        <v>2224</v>
      </c>
      <c r="Q176" s="4" t="s">
        <v>2521</v>
      </c>
      <c r="R176" s="4" t="s">
        <v>2226</v>
      </c>
      <c r="S176" s="4" t="s">
        <v>2227</v>
      </c>
      <c r="T176" s="4" t="s">
        <v>2228</v>
      </c>
      <c r="U176" s="4" t="s">
        <v>2237</v>
      </c>
      <c r="V176" s="4" t="s">
        <v>125</v>
      </c>
      <c r="W176" s="4" t="s">
        <v>2230</v>
      </c>
      <c r="X176" s="4" t="s">
        <v>2224</v>
      </c>
      <c r="Y176" s="4" t="s">
        <v>2239</v>
      </c>
      <c r="Z176" s="6">
        <v>20646.896499999999</v>
      </c>
      <c r="AA176" s="6">
        <v>247762.76</v>
      </c>
      <c r="AB176" s="4" t="s">
        <v>2232</v>
      </c>
      <c r="AC176" s="7" t="s">
        <v>2224</v>
      </c>
    </row>
    <row r="177" spans="1:29" ht="15" customHeight="1" collapsed="1" thickBot="1" x14ac:dyDescent="0.3">
      <c r="A177" s="20" t="str">
        <f>CONCATENATE("178"," - ","MS", " ","Saiyuri"," ", "Govender")</f>
        <v>178 - MS Saiyuri Govender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2"/>
    </row>
    <row r="178" spans="1:29" ht="15" hidden="1" customHeight="1" outlineLevel="1" thickBot="1" x14ac:dyDescent="0.3">
      <c r="A178" s="4" t="s">
        <v>2522</v>
      </c>
      <c r="B178" s="4" t="s">
        <v>698</v>
      </c>
      <c r="C178" s="4" t="s">
        <v>2220</v>
      </c>
      <c r="D178" s="5">
        <v>42962.549999999996</v>
      </c>
      <c r="E178" s="4" t="s">
        <v>2221</v>
      </c>
      <c r="F178" s="4" t="s">
        <v>2222</v>
      </c>
      <c r="G178" s="4" t="s">
        <v>813</v>
      </c>
      <c r="H178" s="4" t="s">
        <v>800</v>
      </c>
      <c r="I178" s="4" t="s">
        <v>2062</v>
      </c>
      <c r="J178" s="4" t="s">
        <v>1234</v>
      </c>
      <c r="K178" s="5">
        <v>35390</v>
      </c>
      <c r="L178" s="4" t="s">
        <v>2523</v>
      </c>
      <c r="M178" s="4" t="s">
        <v>9</v>
      </c>
      <c r="N178" s="5">
        <v>42527</v>
      </c>
      <c r="O178" s="5" t="s">
        <v>2224</v>
      </c>
      <c r="P178" s="4" t="s">
        <v>2224</v>
      </c>
      <c r="Q178" s="4" t="s">
        <v>2524</v>
      </c>
      <c r="R178" s="4" t="s">
        <v>2226</v>
      </c>
      <c r="S178" s="4" t="s">
        <v>2227</v>
      </c>
      <c r="T178" s="4" t="s">
        <v>2228</v>
      </c>
      <c r="U178" s="4" t="s">
        <v>2237</v>
      </c>
      <c r="V178" s="4" t="s">
        <v>125</v>
      </c>
      <c r="W178" s="4" t="s">
        <v>2278</v>
      </c>
      <c r="X178" s="4" t="s">
        <v>2224</v>
      </c>
      <c r="Y178" s="4" t="s">
        <v>2239</v>
      </c>
      <c r="Z178" s="6">
        <v>16081.7</v>
      </c>
      <c r="AA178" s="6">
        <v>192980.4</v>
      </c>
      <c r="AB178" s="4" t="s">
        <v>2232</v>
      </c>
      <c r="AC178" s="7" t="s">
        <v>2224</v>
      </c>
    </row>
    <row r="179" spans="1:29" ht="15" customHeight="1" collapsed="1" thickBot="1" x14ac:dyDescent="0.3">
      <c r="A179" s="20" t="str">
        <f>CONCATENATE("179"," - ","MS", " ","Simone"," ", "Govender")</f>
        <v>179 - MS Simone Govender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2"/>
    </row>
    <row r="180" spans="1:29" ht="15" hidden="1" customHeight="1" outlineLevel="1" thickBot="1" x14ac:dyDescent="0.3">
      <c r="A180" s="4" t="s">
        <v>2525</v>
      </c>
      <c r="B180" s="4" t="s">
        <v>696</v>
      </c>
      <c r="C180" s="4" t="s">
        <v>2220</v>
      </c>
      <c r="D180" s="5">
        <v>42962.549999999996</v>
      </c>
      <c r="E180" s="4" t="s">
        <v>2221</v>
      </c>
      <c r="F180" s="4" t="s">
        <v>2222</v>
      </c>
      <c r="G180" s="4" t="s">
        <v>813</v>
      </c>
      <c r="H180" s="4" t="s">
        <v>1098</v>
      </c>
      <c r="I180" s="4" t="s">
        <v>2058</v>
      </c>
      <c r="J180" s="4" t="s">
        <v>1234</v>
      </c>
      <c r="K180" s="5">
        <v>34764</v>
      </c>
      <c r="L180" s="4" t="s">
        <v>2526</v>
      </c>
      <c r="M180" s="4" t="s">
        <v>9</v>
      </c>
      <c r="N180" s="5">
        <v>42527</v>
      </c>
      <c r="O180" s="5" t="s">
        <v>2224</v>
      </c>
      <c r="P180" s="4" t="s">
        <v>2224</v>
      </c>
      <c r="Q180" s="4" t="s">
        <v>2527</v>
      </c>
      <c r="R180" s="4" t="s">
        <v>2226</v>
      </c>
      <c r="S180" s="4" t="s">
        <v>2227</v>
      </c>
      <c r="T180" s="4" t="s">
        <v>2228</v>
      </c>
      <c r="U180" s="4" t="s">
        <v>2237</v>
      </c>
      <c r="V180" s="4" t="s">
        <v>125</v>
      </c>
      <c r="W180" s="4" t="s">
        <v>2278</v>
      </c>
      <c r="X180" s="4" t="s">
        <v>2224</v>
      </c>
      <c r="Y180" s="4" t="s">
        <v>2239</v>
      </c>
      <c r="Z180" s="6">
        <v>16081.7</v>
      </c>
      <c r="AA180" s="6">
        <v>192980.4</v>
      </c>
      <c r="AB180" s="4" t="s">
        <v>2232</v>
      </c>
      <c r="AC180" s="7" t="s">
        <v>2224</v>
      </c>
    </row>
    <row r="181" spans="1:29" ht="15" customHeight="1" collapsed="1" thickBot="1" x14ac:dyDescent="0.3">
      <c r="A181" s="20" t="str">
        <f>CONCATENATE("180"," - ","MS", " ","Stephanie"," ", "Govender")</f>
        <v>180 - MS Stephanie Govender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2"/>
    </row>
    <row r="182" spans="1:29" ht="15" hidden="1" customHeight="1" outlineLevel="1" thickBot="1" x14ac:dyDescent="0.3">
      <c r="A182" s="4" t="s">
        <v>2528</v>
      </c>
      <c r="B182" s="4" t="s">
        <v>637</v>
      </c>
      <c r="C182" s="4" t="s">
        <v>2220</v>
      </c>
      <c r="D182" s="5">
        <v>42962.549999999996</v>
      </c>
      <c r="E182" s="4" t="s">
        <v>2221</v>
      </c>
      <c r="F182" s="4" t="s">
        <v>2222</v>
      </c>
      <c r="G182" s="4" t="s">
        <v>813</v>
      </c>
      <c r="H182" s="4" t="s">
        <v>800</v>
      </c>
      <c r="I182" s="4" t="s">
        <v>1473</v>
      </c>
      <c r="J182" s="4" t="s">
        <v>1234</v>
      </c>
      <c r="K182" s="5">
        <v>35028</v>
      </c>
      <c r="L182" s="4" t="s">
        <v>2529</v>
      </c>
      <c r="M182" s="4" t="s">
        <v>9</v>
      </c>
      <c r="N182" s="5">
        <v>42347</v>
      </c>
      <c r="O182" s="5" t="s">
        <v>2224</v>
      </c>
      <c r="P182" s="4" t="s">
        <v>2224</v>
      </c>
      <c r="Q182" s="4" t="s">
        <v>2530</v>
      </c>
      <c r="R182" s="4" t="s">
        <v>2226</v>
      </c>
      <c r="S182" s="4" t="s">
        <v>2227</v>
      </c>
      <c r="T182" s="4" t="s">
        <v>2228</v>
      </c>
      <c r="U182" s="4" t="s">
        <v>2237</v>
      </c>
      <c r="V182" s="4" t="s">
        <v>125</v>
      </c>
      <c r="W182" s="4" t="s">
        <v>2278</v>
      </c>
      <c r="X182" s="4" t="s">
        <v>2224</v>
      </c>
      <c r="Y182" s="4" t="s">
        <v>2239</v>
      </c>
      <c r="Z182" s="6">
        <v>16282.72</v>
      </c>
      <c r="AA182" s="6">
        <v>195392.64000000001</v>
      </c>
      <c r="AB182" s="4" t="s">
        <v>2232</v>
      </c>
      <c r="AC182" s="7" t="s">
        <v>2224</v>
      </c>
    </row>
    <row r="183" spans="1:29" ht="15" customHeight="1" collapsed="1" thickBot="1" x14ac:dyDescent="0.3">
      <c r="A183" s="20" t="str">
        <f>CONCATENATE("181"," - ","MS", " ","Vurishka"," ", "Govender")</f>
        <v>181 - MS Vurishka Govender</v>
      </c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2"/>
    </row>
    <row r="184" spans="1:29" ht="15" hidden="1" customHeight="1" outlineLevel="1" thickBot="1" x14ac:dyDescent="0.3">
      <c r="A184" s="4" t="s">
        <v>2531</v>
      </c>
      <c r="B184" s="4" t="s">
        <v>615</v>
      </c>
      <c r="C184" s="4" t="s">
        <v>2220</v>
      </c>
      <c r="D184" s="5">
        <v>42962.549999999996</v>
      </c>
      <c r="E184" s="4" t="s">
        <v>2221</v>
      </c>
      <c r="F184" s="4" t="s">
        <v>2222</v>
      </c>
      <c r="G184" s="4" t="s">
        <v>813</v>
      </c>
      <c r="H184" s="4" t="s">
        <v>907</v>
      </c>
      <c r="I184" s="4" t="s">
        <v>1928</v>
      </c>
      <c r="J184" s="4" t="s">
        <v>1234</v>
      </c>
      <c r="K184" s="5">
        <v>35148</v>
      </c>
      <c r="L184" s="4" t="s">
        <v>2532</v>
      </c>
      <c r="M184" s="4" t="s">
        <v>9</v>
      </c>
      <c r="N184" s="5">
        <v>42275</v>
      </c>
      <c r="O184" s="5" t="s">
        <v>2224</v>
      </c>
      <c r="P184" s="4" t="s">
        <v>2224</v>
      </c>
      <c r="Q184" s="4" t="s">
        <v>2533</v>
      </c>
      <c r="R184" s="4" t="s">
        <v>2226</v>
      </c>
      <c r="S184" s="4" t="s">
        <v>2227</v>
      </c>
      <c r="T184" s="4" t="s">
        <v>2228</v>
      </c>
      <c r="U184" s="4" t="s">
        <v>2237</v>
      </c>
      <c r="V184" s="4" t="s">
        <v>8</v>
      </c>
      <c r="W184" s="4" t="s">
        <v>2278</v>
      </c>
      <c r="X184" s="4" t="s">
        <v>2224</v>
      </c>
      <c r="Y184" s="4" t="s">
        <v>2239</v>
      </c>
      <c r="Z184" s="6">
        <v>16081.7</v>
      </c>
      <c r="AA184" s="6">
        <v>192980.4</v>
      </c>
      <c r="AB184" s="4" t="s">
        <v>2232</v>
      </c>
      <c r="AC184" s="7" t="s">
        <v>2224</v>
      </c>
    </row>
    <row r="185" spans="1:29" ht="15" customHeight="1" collapsed="1" thickBot="1" x14ac:dyDescent="0.3">
      <c r="A185" s="20" t="str">
        <f>CONCATENATE("182"," - ","MRS", " ","Taryn"," ", "Gower")</f>
        <v>182 - MRS Taryn Gower</v>
      </c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2"/>
    </row>
    <row r="186" spans="1:29" ht="15" hidden="1" customHeight="1" outlineLevel="1" thickBot="1" x14ac:dyDescent="0.3">
      <c r="A186" s="4" t="s">
        <v>2534</v>
      </c>
      <c r="B186" s="4" t="s">
        <v>612</v>
      </c>
      <c r="C186" s="4" t="s">
        <v>2220</v>
      </c>
      <c r="D186" s="5">
        <v>42962.463194444441</v>
      </c>
      <c r="E186" s="4" t="s">
        <v>2221</v>
      </c>
      <c r="F186" s="4" t="s">
        <v>2222</v>
      </c>
      <c r="G186" s="4" t="s">
        <v>2280</v>
      </c>
      <c r="H186" s="4" t="s">
        <v>819</v>
      </c>
      <c r="I186" s="4" t="s">
        <v>962</v>
      </c>
      <c r="J186" s="4" t="s">
        <v>1925</v>
      </c>
      <c r="K186" s="5">
        <v>29336</v>
      </c>
      <c r="L186" s="4" t="s">
        <v>2535</v>
      </c>
      <c r="M186" s="4" t="s">
        <v>9</v>
      </c>
      <c r="N186" s="5">
        <v>42248</v>
      </c>
      <c r="O186" s="5" t="s">
        <v>2224</v>
      </c>
      <c r="P186" s="4" t="s">
        <v>2224</v>
      </c>
      <c r="Q186" s="4" t="s">
        <v>2536</v>
      </c>
      <c r="R186" s="4" t="s">
        <v>2226</v>
      </c>
      <c r="S186" s="4" t="s">
        <v>2227</v>
      </c>
      <c r="T186" s="4" t="s">
        <v>2228</v>
      </c>
      <c r="U186" s="4" t="s">
        <v>2248</v>
      </c>
      <c r="V186" s="4" t="s">
        <v>598</v>
      </c>
      <c r="W186" s="4" t="s">
        <v>2230</v>
      </c>
      <c r="X186" s="4" t="s">
        <v>2224</v>
      </c>
      <c r="Y186" s="4" t="s">
        <v>2283</v>
      </c>
      <c r="Z186" s="6">
        <v>50028.3</v>
      </c>
      <c r="AA186" s="6">
        <v>600339.6</v>
      </c>
      <c r="AB186" s="4" t="s">
        <v>2232</v>
      </c>
      <c r="AC186" s="7" t="s">
        <v>2224</v>
      </c>
    </row>
    <row r="187" spans="1:29" ht="15" customHeight="1" collapsed="1" thickBot="1" x14ac:dyDescent="0.3">
      <c r="A187" s="20" t="str">
        <f>CONCATENATE("183"," - ","MISS", " ","HAZEL"," ", "GQUBILE")</f>
        <v>183 - MISS HAZEL GQUBILE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2"/>
    </row>
    <row r="188" spans="1:29" ht="15" hidden="1" customHeight="1" outlineLevel="1" thickBot="1" x14ac:dyDescent="0.3">
      <c r="A188" s="4" t="s">
        <v>2537</v>
      </c>
      <c r="B188" s="4" t="s">
        <v>154</v>
      </c>
      <c r="C188" s="4" t="s">
        <v>2220</v>
      </c>
      <c r="D188" s="5">
        <v>42962.461805555555</v>
      </c>
      <c r="E188" s="4" t="s">
        <v>2221</v>
      </c>
      <c r="F188" s="4" t="s">
        <v>2222</v>
      </c>
      <c r="G188" s="4" t="s">
        <v>2234</v>
      </c>
      <c r="H188" s="4" t="s">
        <v>1062</v>
      </c>
      <c r="I188" s="4" t="s">
        <v>1063</v>
      </c>
      <c r="J188" s="4" t="s">
        <v>1061</v>
      </c>
      <c r="K188" s="5">
        <v>28333</v>
      </c>
      <c r="L188" s="4" t="s">
        <v>2538</v>
      </c>
      <c r="M188" s="4" t="s">
        <v>9</v>
      </c>
      <c r="N188" s="5">
        <v>39387</v>
      </c>
      <c r="O188" s="5" t="s">
        <v>2224</v>
      </c>
      <c r="P188" s="4" t="s">
        <v>2224</v>
      </c>
      <c r="Q188" s="4" t="s">
        <v>2539</v>
      </c>
      <c r="R188" s="4" t="s">
        <v>2226</v>
      </c>
      <c r="S188" s="4" t="s">
        <v>2227</v>
      </c>
      <c r="T188" s="4" t="s">
        <v>2228</v>
      </c>
      <c r="U188" s="4" t="s">
        <v>2229</v>
      </c>
      <c r="V188" s="4" t="s">
        <v>25</v>
      </c>
      <c r="W188" s="4" t="s">
        <v>2278</v>
      </c>
      <c r="X188" s="4" t="s">
        <v>2224</v>
      </c>
      <c r="Y188" s="4" t="s">
        <v>2449</v>
      </c>
      <c r="Z188" s="6">
        <v>17387.650000000001</v>
      </c>
      <c r="AA188" s="6">
        <v>208651.8</v>
      </c>
      <c r="AB188" s="4" t="s">
        <v>2232</v>
      </c>
      <c r="AC188" s="7" t="s">
        <v>2224</v>
      </c>
    </row>
    <row r="189" spans="1:29" ht="15" customHeight="1" collapsed="1" thickBot="1" x14ac:dyDescent="0.3">
      <c r="A189" s="20" t="str">
        <f>CONCATENATE("184"," - ","MR", " ","Marco"," ", "Graca")</f>
        <v>184 - MR Marco Graca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2"/>
    </row>
    <row r="190" spans="1:29" ht="15" hidden="1" customHeight="1" outlineLevel="1" thickBot="1" x14ac:dyDescent="0.3">
      <c r="A190" s="4" t="s">
        <v>2540</v>
      </c>
      <c r="B190" s="4" t="s">
        <v>618</v>
      </c>
      <c r="C190" s="4" t="s">
        <v>2220</v>
      </c>
      <c r="D190" s="5">
        <v>42963.288888888885</v>
      </c>
      <c r="E190" s="4" t="s">
        <v>2221</v>
      </c>
      <c r="F190" s="4" t="s">
        <v>2222</v>
      </c>
      <c r="G190" s="4" t="s">
        <v>2014</v>
      </c>
      <c r="H190" s="4" t="s">
        <v>969</v>
      </c>
      <c r="I190" s="4" t="s">
        <v>1933</v>
      </c>
      <c r="J190" s="4" t="s">
        <v>1932</v>
      </c>
      <c r="K190" s="5">
        <v>30061</v>
      </c>
      <c r="L190" s="4" t="s">
        <v>2541</v>
      </c>
      <c r="M190" s="4" t="s">
        <v>9</v>
      </c>
      <c r="N190" s="5">
        <v>42278</v>
      </c>
      <c r="O190" s="5" t="s">
        <v>2224</v>
      </c>
      <c r="P190" s="4" t="s">
        <v>2224</v>
      </c>
      <c r="Q190" s="4" t="s">
        <v>2542</v>
      </c>
      <c r="R190" s="4" t="s">
        <v>2226</v>
      </c>
      <c r="S190" s="4" t="s">
        <v>2227</v>
      </c>
      <c r="T190" s="4" t="s">
        <v>2228</v>
      </c>
      <c r="U190" s="4" t="s">
        <v>2258</v>
      </c>
      <c r="V190" s="4" t="s">
        <v>246</v>
      </c>
      <c r="W190" s="4" t="s">
        <v>2249</v>
      </c>
      <c r="X190" s="4" t="s">
        <v>2224</v>
      </c>
      <c r="Y190" s="4" t="s">
        <v>2259</v>
      </c>
      <c r="Z190" s="6">
        <v>68050.454400000002</v>
      </c>
      <c r="AA190" s="6">
        <v>816605.45</v>
      </c>
      <c r="AB190" s="4" t="s">
        <v>2232</v>
      </c>
      <c r="AC190" s="7" t="s">
        <v>2224</v>
      </c>
    </row>
    <row r="191" spans="1:29" ht="15" customHeight="1" collapsed="1" thickBot="1" x14ac:dyDescent="0.3">
      <c r="A191" s="20" t="str">
        <f>CONCATENATE("185"," - ","MR", " ","Timothy"," ", "Graham")</f>
        <v>185 - MR Timothy Graham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2"/>
    </row>
    <row r="192" spans="1:29" ht="15" hidden="1" customHeight="1" outlineLevel="1" thickBot="1" x14ac:dyDescent="0.3">
      <c r="A192" s="4" t="s">
        <v>2543</v>
      </c>
      <c r="B192" s="4" t="s">
        <v>433</v>
      </c>
      <c r="C192" s="4" t="s">
        <v>2220</v>
      </c>
      <c r="D192" s="5">
        <v>42963.286805555552</v>
      </c>
      <c r="E192" s="4" t="s">
        <v>2221</v>
      </c>
      <c r="F192" s="4" t="s">
        <v>2222</v>
      </c>
      <c r="G192" s="4" t="s">
        <v>2014</v>
      </c>
      <c r="H192" s="4" t="s">
        <v>1595</v>
      </c>
      <c r="I192" s="4" t="s">
        <v>1596</v>
      </c>
      <c r="J192" s="4" t="s">
        <v>1594</v>
      </c>
      <c r="K192" s="5">
        <v>28431</v>
      </c>
      <c r="L192" s="4" t="s">
        <v>2544</v>
      </c>
      <c r="M192" s="4" t="s">
        <v>9</v>
      </c>
      <c r="N192" s="5">
        <v>41597</v>
      </c>
      <c r="O192" s="5" t="s">
        <v>2224</v>
      </c>
      <c r="P192" s="4" t="s">
        <v>2224</v>
      </c>
      <c r="Q192" s="4" t="s">
        <v>2545</v>
      </c>
      <c r="R192" s="4" t="s">
        <v>2226</v>
      </c>
      <c r="S192" s="4" t="s">
        <v>2227</v>
      </c>
      <c r="T192" s="4" t="s">
        <v>2228</v>
      </c>
      <c r="U192" s="4" t="s">
        <v>2258</v>
      </c>
      <c r="V192" s="4" t="s">
        <v>13</v>
      </c>
      <c r="W192" s="4" t="s">
        <v>2249</v>
      </c>
      <c r="X192" s="4" t="s">
        <v>2224</v>
      </c>
      <c r="Y192" s="4" t="s">
        <v>2259</v>
      </c>
      <c r="Z192" s="6">
        <v>107642.2068</v>
      </c>
      <c r="AA192" s="6">
        <v>1291706.48</v>
      </c>
      <c r="AB192" s="4" t="s">
        <v>2232</v>
      </c>
      <c r="AC192" s="7" t="s">
        <v>2224</v>
      </c>
    </row>
    <row r="193" spans="1:29" ht="15" customHeight="1" collapsed="1" thickBot="1" x14ac:dyDescent="0.3">
      <c r="A193" s="20" t="str">
        <f>CONCATENATE("187"," - ","MR", " ","Jonathan"," ", "Gulston")</f>
        <v>187 - MR Jonathan Gulston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2"/>
    </row>
    <row r="194" spans="1:29" ht="15" hidden="1" customHeight="1" outlineLevel="1" thickBot="1" x14ac:dyDescent="0.3">
      <c r="A194" s="4" t="s">
        <v>2546</v>
      </c>
      <c r="B194" s="4" t="s">
        <v>626</v>
      </c>
      <c r="C194" s="4" t="s">
        <v>2220</v>
      </c>
      <c r="D194" s="5">
        <v>42962.462500000001</v>
      </c>
      <c r="E194" s="4" t="s">
        <v>2221</v>
      </c>
      <c r="F194" s="4" t="s">
        <v>2222</v>
      </c>
      <c r="G194" s="4" t="s">
        <v>2014</v>
      </c>
      <c r="H194" s="4" t="s">
        <v>888</v>
      </c>
      <c r="I194" s="4" t="s">
        <v>1948</v>
      </c>
      <c r="J194" s="4" t="s">
        <v>1947</v>
      </c>
      <c r="K194" s="5">
        <v>32401</v>
      </c>
      <c r="L194" s="4" t="s">
        <v>2547</v>
      </c>
      <c r="M194" s="4" t="s">
        <v>9</v>
      </c>
      <c r="N194" s="5">
        <v>42309</v>
      </c>
      <c r="O194" s="5" t="s">
        <v>2224</v>
      </c>
      <c r="P194" s="4" t="s">
        <v>2224</v>
      </c>
      <c r="Q194" s="4" t="s">
        <v>2548</v>
      </c>
      <c r="R194" s="4" t="s">
        <v>2226</v>
      </c>
      <c r="S194" s="4" t="s">
        <v>2227</v>
      </c>
      <c r="T194" s="4" t="s">
        <v>2228</v>
      </c>
      <c r="U194" s="4" t="s">
        <v>2229</v>
      </c>
      <c r="V194" s="4" t="s">
        <v>116</v>
      </c>
      <c r="W194" s="4" t="s">
        <v>2278</v>
      </c>
      <c r="X194" s="4" t="s">
        <v>2224</v>
      </c>
      <c r="Y194" s="4" t="s">
        <v>2549</v>
      </c>
      <c r="Z194" s="6">
        <v>24999.99</v>
      </c>
      <c r="AA194" s="6">
        <v>299999.88</v>
      </c>
      <c r="AB194" s="4" t="s">
        <v>2232</v>
      </c>
      <c r="AC194" s="7" t="s">
        <v>2224</v>
      </c>
    </row>
    <row r="195" spans="1:29" ht="15" customHeight="1" collapsed="1" thickBot="1" x14ac:dyDescent="0.3">
      <c r="A195" s="20" t="str">
        <f>CONCATENATE("188"," - ","MISS", " ","Makhosazana"," ", "Gulube")</f>
        <v>188 - MISS Makhosazana Gulube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2"/>
    </row>
    <row r="196" spans="1:29" ht="15" hidden="1" customHeight="1" outlineLevel="1" thickBot="1" x14ac:dyDescent="0.3">
      <c r="A196" s="4" t="s">
        <v>2550</v>
      </c>
      <c r="B196" s="4" t="s">
        <v>569</v>
      </c>
      <c r="C196" s="4" t="s">
        <v>2220</v>
      </c>
      <c r="D196" s="5">
        <v>42962.461805555555</v>
      </c>
      <c r="E196" s="4" t="s">
        <v>2221</v>
      </c>
      <c r="F196" s="4" t="s">
        <v>2222</v>
      </c>
      <c r="G196" s="4" t="s">
        <v>2234</v>
      </c>
      <c r="H196" s="4" t="s">
        <v>813</v>
      </c>
      <c r="I196" s="4" t="s">
        <v>1793</v>
      </c>
      <c r="J196" s="4" t="s">
        <v>1858</v>
      </c>
      <c r="K196" s="5">
        <v>31116</v>
      </c>
      <c r="L196" s="4" t="s">
        <v>2551</v>
      </c>
      <c r="M196" s="4" t="s">
        <v>9</v>
      </c>
      <c r="N196" s="5">
        <v>42128</v>
      </c>
      <c r="O196" s="5" t="s">
        <v>2224</v>
      </c>
      <c r="P196" s="4" t="s">
        <v>2224</v>
      </c>
      <c r="Q196" s="4" t="s">
        <v>2552</v>
      </c>
      <c r="R196" s="4" t="s">
        <v>2226</v>
      </c>
      <c r="S196" s="4" t="s">
        <v>2227</v>
      </c>
      <c r="T196" s="4" t="s">
        <v>2228</v>
      </c>
      <c r="U196" s="4" t="s">
        <v>2229</v>
      </c>
      <c r="V196" s="4" t="s">
        <v>25</v>
      </c>
      <c r="W196" s="4" t="s">
        <v>2278</v>
      </c>
      <c r="X196" s="4" t="s">
        <v>2224</v>
      </c>
      <c r="Y196" s="4" t="s">
        <v>2384</v>
      </c>
      <c r="Z196" s="6">
        <v>10844.03</v>
      </c>
      <c r="AA196" s="6">
        <v>130128.36</v>
      </c>
      <c r="AB196" s="4" t="s">
        <v>2232</v>
      </c>
      <c r="AC196" s="7" t="s">
        <v>2224</v>
      </c>
    </row>
    <row r="197" spans="1:29" ht="15" customHeight="1" collapsed="1" thickBot="1" x14ac:dyDescent="0.3">
      <c r="A197" s="20" t="str">
        <f>CONCATENATE("189"," - ","MR", " ","Andile"," ", "Gumede")</f>
        <v>189 - MR Andile Gumede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2"/>
    </row>
    <row r="198" spans="1:29" ht="15" hidden="1" customHeight="1" outlineLevel="1" thickBot="1" x14ac:dyDescent="0.3">
      <c r="A198" s="4" t="s">
        <v>2553</v>
      </c>
      <c r="B198" s="4" t="s">
        <v>155</v>
      </c>
      <c r="C198" s="4" t="s">
        <v>2220</v>
      </c>
      <c r="D198" s="5">
        <v>42962.461805555555</v>
      </c>
      <c r="E198" s="4" t="s">
        <v>2221</v>
      </c>
      <c r="F198" s="4" t="s">
        <v>2222</v>
      </c>
      <c r="G198" s="4" t="s">
        <v>2014</v>
      </c>
      <c r="H198" s="4" t="s">
        <v>742</v>
      </c>
      <c r="I198" s="4" t="s">
        <v>1065</v>
      </c>
      <c r="J198" s="4" t="s">
        <v>1064</v>
      </c>
      <c r="K198" s="5">
        <v>31518</v>
      </c>
      <c r="L198" s="4" t="s">
        <v>2554</v>
      </c>
      <c r="M198" s="4" t="s">
        <v>9</v>
      </c>
      <c r="N198" s="5">
        <v>39387</v>
      </c>
      <c r="O198" s="5" t="s">
        <v>2224</v>
      </c>
      <c r="P198" s="4" t="s">
        <v>2224</v>
      </c>
      <c r="Q198" s="4" t="s">
        <v>2555</v>
      </c>
      <c r="R198" s="4" t="s">
        <v>2226</v>
      </c>
      <c r="S198" s="4" t="s">
        <v>2227</v>
      </c>
      <c r="T198" s="4" t="s">
        <v>2228</v>
      </c>
      <c r="U198" s="4" t="s">
        <v>2229</v>
      </c>
      <c r="V198" s="4" t="s">
        <v>25</v>
      </c>
      <c r="W198" s="4" t="s">
        <v>2278</v>
      </c>
      <c r="X198" s="4" t="s">
        <v>2224</v>
      </c>
      <c r="Y198" s="4" t="s">
        <v>2419</v>
      </c>
      <c r="Z198" s="6">
        <v>17112.251499999998</v>
      </c>
      <c r="AA198" s="6">
        <v>205347.02</v>
      </c>
      <c r="AB198" s="4" t="s">
        <v>2232</v>
      </c>
      <c r="AC198" s="7" t="s">
        <v>2224</v>
      </c>
    </row>
    <row r="199" spans="1:29" ht="15" customHeight="1" collapsed="1" thickBot="1" x14ac:dyDescent="0.3">
      <c r="A199" s="20" t="str">
        <f>CONCATENATE("190"," - ","MR", " ","Andrew"," ", "Gunthorp")</f>
        <v>190 - MR Andrew Gunthorp</v>
      </c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2"/>
    </row>
    <row r="200" spans="1:29" ht="15" hidden="1" customHeight="1" outlineLevel="1" thickBot="1" x14ac:dyDescent="0.3">
      <c r="A200" s="4" t="s">
        <v>2556</v>
      </c>
      <c r="B200" s="4" t="s">
        <v>403</v>
      </c>
      <c r="C200" s="4" t="s">
        <v>2220</v>
      </c>
      <c r="D200" s="5">
        <v>42963.286805555552</v>
      </c>
      <c r="E200" s="4" t="s">
        <v>2221</v>
      </c>
      <c r="F200" s="4" t="s">
        <v>2222</v>
      </c>
      <c r="G200" s="4" t="s">
        <v>2014</v>
      </c>
      <c r="H200" s="4" t="s">
        <v>1012</v>
      </c>
      <c r="I200" s="4" t="s">
        <v>1532</v>
      </c>
      <c r="J200" s="4" t="s">
        <v>1531</v>
      </c>
      <c r="K200" s="5">
        <v>31094</v>
      </c>
      <c r="L200" s="4" t="s">
        <v>2557</v>
      </c>
      <c r="M200" s="4" t="s">
        <v>9</v>
      </c>
      <c r="N200" s="5">
        <v>41519</v>
      </c>
      <c r="O200" s="5" t="s">
        <v>2224</v>
      </c>
      <c r="P200" s="4" t="s">
        <v>2224</v>
      </c>
      <c r="Q200" s="4" t="s">
        <v>2558</v>
      </c>
      <c r="R200" s="4" t="s">
        <v>2226</v>
      </c>
      <c r="S200" s="4" t="s">
        <v>2227</v>
      </c>
      <c r="T200" s="4" t="s">
        <v>2228</v>
      </c>
      <c r="U200" s="4" t="s">
        <v>2258</v>
      </c>
      <c r="V200" s="4" t="s">
        <v>13</v>
      </c>
      <c r="W200" s="4" t="s">
        <v>2249</v>
      </c>
      <c r="X200" s="4" t="s">
        <v>2224</v>
      </c>
      <c r="Y200" s="4" t="s">
        <v>2259</v>
      </c>
      <c r="Z200" s="6">
        <v>105531.5736</v>
      </c>
      <c r="AA200" s="6">
        <v>1266378.8799999999</v>
      </c>
      <c r="AB200" s="4" t="s">
        <v>2232</v>
      </c>
      <c r="AC200" s="7" t="s">
        <v>2224</v>
      </c>
    </row>
    <row r="201" spans="1:29" ht="15" customHeight="1" collapsed="1" thickBot="1" x14ac:dyDescent="0.3">
      <c r="A201" s="20" t="str">
        <f>CONCATENATE("191"," - ","MISS", " ","Claudine"," ", "Gysman")</f>
        <v>191 - MISS Claudine Gysman</v>
      </c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2"/>
    </row>
    <row r="202" spans="1:29" ht="15" hidden="1" customHeight="1" outlineLevel="1" thickBot="1" x14ac:dyDescent="0.3">
      <c r="A202" s="4" t="s">
        <v>2559</v>
      </c>
      <c r="B202" s="4" t="s">
        <v>562</v>
      </c>
      <c r="C202" s="4" t="s">
        <v>2220</v>
      </c>
      <c r="D202" s="5">
        <v>42962.461805555555</v>
      </c>
      <c r="E202" s="4" t="s">
        <v>2221</v>
      </c>
      <c r="F202" s="4" t="s">
        <v>2222</v>
      </c>
      <c r="G202" s="4" t="s">
        <v>2234</v>
      </c>
      <c r="H202" s="4" t="s">
        <v>1182</v>
      </c>
      <c r="I202" s="4" t="s">
        <v>1843</v>
      </c>
      <c r="J202" s="4" t="s">
        <v>1842</v>
      </c>
      <c r="K202" s="5">
        <v>31783</v>
      </c>
      <c r="L202" s="4" t="s">
        <v>2560</v>
      </c>
      <c r="M202" s="4" t="s">
        <v>9</v>
      </c>
      <c r="N202" s="5">
        <v>42128</v>
      </c>
      <c r="O202" s="5" t="s">
        <v>2224</v>
      </c>
      <c r="P202" s="4" t="s">
        <v>2224</v>
      </c>
      <c r="Q202" s="4" t="s">
        <v>2561</v>
      </c>
      <c r="R202" s="4" t="s">
        <v>2226</v>
      </c>
      <c r="S202" s="4" t="s">
        <v>2227</v>
      </c>
      <c r="T202" s="4" t="s">
        <v>2228</v>
      </c>
      <c r="U202" s="4" t="s">
        <v>2229</v>
      </c>
      <c r="V202" s="4" t="s">
        <v>25</v>
      </c>
      <c r="W202" s="4" t="s">
        <v>2278</v>
      </c>
      <c r="X202" s="4" t="s">
        <v>2224</v>
      </c>
      <c r="Y202" s="4" t="s">
        <v>2384</v>
      </c>
      <c r="Z202" s="6">
        <v>10844.03</v>
      </c>
      <c r="AA202" s="6">
        <v>130128.36</v>
      </c>
      <c r="AB202" s="4" t="s">
        <v>2232</v>
      </c>
      <c r="AC202" s="7" t="s">
        <v>2224</v>
      </c>
    </row>
    <row r="203" spans="1:29" ht="15" customHeight="1" collapsed="1" thickBot="1" x14ac:dyDescent="0.3">
      <c r="A203" s="20" t="str">
        <f>CONCATENATE("192"," - ","MR", " ","Craig"," ", "Hack")</f>
        <v>192 - MR Craig Hack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2"/>
    </row>
    <row r="204" spans="1:29" ht="15" hidden="1" customHeight="1" outlineLevel="1" thickBot="1" x14ac:dyDescent="0.3">
      <c r="A204" s="4" t="s">
        <v>2562</v>
      </c>
      <c r="B204" s="4" t="s">
        <v>444</v>
      </c>
      <c r="C204" s="4" t="s">
        <v>2220</v>
      </c>
      <c r="D204" s="5">
        <v>42963.287499999999</v>
      </c>
      <c r="E204" s="4" t="s">
        <v>2221</v>
      </c>
      <c r="F204" s="4" t="s">
        <v>2222</v>
      </c>
      <c r="G204" s="4" t="s">
        <v>2014</v>
      </c>
      <c r="H204" s="4" t="s">
        <v>1623</v>
      </c>
      <c r="I204" s="4" t="s">
        <v>1333</v>
      </c>
      <c r="J204" s="4" t="s">
        <v>1622</v>
      </c>
      <c r="K204" s="5">
        <v>27645</v>
      </c>
      <c r="L204" s="4" t="s">
        <v>2563</v>
      </c>
      <c r="M204" s="4" t="s">
        <v>9</v>
      </c>
      <c r="N204" s="5">
        <v>41659</v>
      </c>
      <c r="O204" s="5" t="s">
        <v>2224</v>
      </c>
      <c r="P204" s="4" t="s">
        <v>2224</v>
      </c>
      <c r="Q204" s="4" t="s">
        <v>2564</v>
      </c>
      <c r="R204" s="4" t="s">
        <v>2226</v>
      </c>
      <c r="S204" s="4" t="s">
        <v>2227</v>
      </c>
      <c r="T204" s="4" t="s">
        <v>2228</v>
      </c>
      <c r="U204" s="4" t="s">
        <v>2258</v>
      </c>
      <c r="V204" s="4" t="s">
        <v>246</v>
      </c>
      <c r="W204" s="4" t="s">
        <v>2249</v>
      </c>
      <c r="X204" s="4" t="s">
        <v>2224</v>
      </c>
      <c r="Y204" s="4" t="s">
        <v>2259</v>
      </c>
      <c r="Z204" s="6">
        <v>70799.691600000006</v>
      </c>
      <c r="AA204" s="6">
        <v>849596.3</v>
      </c>
      <c r="AB204" s="4" t="s">
        <v>2232</v>
      </c>
      <c r="AC204" s="7" t="s">
        <v>2224</v>
      </c>
    </row>
    <row r="205" spans="1:29" ht="15" customHeight="1" collapsed="1" thickBot="1" x14ac:dyDescent="0.3">
      <c r="A205" s="20" t="str">
        <f>CONCATENATE("193"," - ","MISS", " ","Sanelisiwe"," ", "Hadebe")</f>
        <v>193 - MISS Sanelisiwe Hadebe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2"/>
    </row>
    <row r="206" spans="1:29" ht="15" hidden="1" customHeight="1" outlineLevel="1" thickBot="1" x14ac:dyDescent="0.3">
      <c r="A206" s="4" t="s">
        <v>2565</v>
      </c>
      <c r="B206" s="4" t="s">
        <v>83</v>
      </c>
      <c r="C206" s="4" t="s">
        <v>2220</v>
      </c>
      <c r="D206" s="5">
        <v>42962.461111111108</v>
      </c>
      <c r="E206" s="4" t="s">
        <v>2221</v>
      </c>
      <c r="F206" s="4" t="s">
        <v>2222</v>
      </c>
      <c r="G206" s="4" t="s">
        <v>2234</v>
      </c>
      <c r="H206" s="4" t="s">
        <v>800</v>
      </c>
      <c r="I206" s="4" t="s">
        <v>925</v>
      </c>
      <c r="J206" s="4" t="s">
        <v>924</v>
      </c>
      <c r="K206" s="5">
        <v>30417</v>
      </c>
      <c r="L206" s="4" t="s">
        <v>2566</v>
      </c>
      <c r="M206" s="4" t="s">
        <v>9</v>
      </c>
      <c r="N206" s="5">
        <v>39020</v>
      </c>
      <c r="O206" s="5" t="s">
        <v>2224</v>
      </c>
      <c r="P206" s="4" t="s">
        <v>2224</v>
      </c>
      <c r="Q206" s="4" t="s">
        <v>2567</v>
      </c>
      <c r="R206" s="4" t="s">
        <v>2226</v>
      </c>
      <c r="S206" s="4" t="s">
        <v>2227</v>
      </c>
      <c r="T206" s="4" t="s">
        <v>2228</v>
      </c>
      <c r="U206" s="4" t="s">
        <v>2229</v>
      </c>
      <c r="V206" s="4" t="s">
        <v>25</v>
      </c>
      <c r="W206" s="4" t="s">
        <v>2278</v>
      </c>
      <c r="X206" s="4" t="s">
        <v>2224</v>
      </c>
      <c r="Y206" s="4" t="s">
        <v>2568</v>
      </c>
      <c r="Z206" s="6">
        <v>17112.2621</v>
      </c>
      <c r="AA206" s="6">
        <v>205347.15</v>
      </c>
      <c r="AB206" s="4" t="s">
        <v>2232</v>
      </c>
      <c r="AC206" s="7" t="s">
        <v>2224</v>
      </c>
    </row>
    <row r="207" spans="1:29" ht="15" customHeight="1" collapsed="1" thickBot="1" x14ac:dyDescent="0.3">
      <c r="A207" s="20" t="str">
        <f>CONCATENATE("194"," - ","MISS", " ","Rushda"," ", "Hajwanie")</f>
        <v>194 - MISS Rushda Hajwanie</v>
      </c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2"/>
    </row>
    <row r="208" spans="1:29" ht="15" hidden="1" customHeight="1" outlineLevel="1" thickBot="1" x14ac:dyDescent="0.3">
      <c r="A208" s="4" t="s">
        <v>2569</v>
      </c>
      <c r="B208" s="4" t="s">
        <v>41</v>
      </c>
      <c r="C208" s="4" t="s">
        <v>2220</v>
      </c>
      <c r="D208" s="5">
        <v>42962.461111111108</v>
      </c>
      <c r="E208" s="4" t="s">
        <v>2221</v>
      </c>
      <c r="F208" s="4" t="s">
        <v>2222</v>
      </c>
      <c r="G208" s="4" t="s">
        <v>2234</v>
      </c>
      <c r="H208" s="4" t="s">
        <v>844</v>
      </c>
      <c r="I208" s="4" t="s">
        <v>845</v>
      </c>
      <c r="J208" s="4" t="s">
        <v>843</v>
      </c>
      <c r="K208" s="5">
        <v>30337</v>
      </c>
      <c r="L208" s="4" t="s">
        <v>2570</v>
      </c>
      <c r="M208" s="4" t="s">
        <v>9</v>
      </c>
      <c r="N208" s="5">
        <v>38986</v>
      </c>
      <c r="O208" s="5" t="s">
        <v>2224</v>
      </c>
      <c r="P208" s="4" t="s">
        <v>2224</v>
      </c>
      <c r="Q208" s="4" t="s">
        <v>2571</v>
      </c>
      <c r="R208" s="4" t="s">
        <v>2226</v>
      </c>
      <c r="S208" s="4" t="s">
        <v>2227</v>
      </c>
      <c r="T208" s="4" t="s">
        <v>2228</v>
      </c>
      <c r="U208" s="4" t="s">
        <v>2229</v>
      </c>
      <c r="V208" s="4" t="s">
        <v>25</v>
      </c>
      <c r="W208" s="4" t="s">
        <v>2278</v>
      </c>
      <c r="X208" s="4" t="s">
        <v>2224</v>
      </c>
      <c r="Y208" s="4" t="s">
        <v>2380</v>
      </c>
      <c r="Z208" s="6">
        <v>17112.2621</v>
      </c>
      <c r="AA208" s="6">
        <v>205347.15</v>
      </c>
      <c r="AB208" s="4" t="s">
        <v>2232</v>
      </c>
      <c r="AC208" s="7" t="s">
        <v>2224</v>
      </c>
    </row>
    <row r="209" spans="1:29" ht="15" customHeight="1" collapsed="1" thickBot="1" x14ac:dyDescent="0.3">
      <c r="A209" s="20" t="str">
        <f>CONCATENATE("196"," - ","MS", " ","Bhaveshka"," ", "Harrichunder")</f>
        <v>196 - MS Bhaveshka Harrichunder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2"/>
    </row>
    <row r="210" spans="1:29" ht="15" hidden="1" customHeight="1" outlineLevel="1" thickBot="1" x14ac:dyDescent="0.3">
      <c r="A210" s="4" t="s">
        <v>2572</v>
      </c>
      <c r="B210" s="4" t="s">
        <v>701</v>
      </c>
      <c r="C210" s="4" t="s">
        <v>2220</v>
      </c>
      <c r="D210" s="5">
        <v>42962.549999999996</v>
      </c>
      <c r="E210" s="4" t="s">
        <v>2221</v>
      </c>
      <c r="F210" s="4" t="s">
        <v>2222</v>
      </c>
      <c r="G210" s="4" t="s">
        <v>813</v>
      </c>
      <c r="H210" s="4" t="s">
        <v>791</v>
      </c>
      <c r="I210" s="4" t="s">
        <v>2067</v>
      </c>
      <c r="J210" s="4" t="s">
        <v>2066</v>
      </c>
      <c r="K210" s="5">
        <v>35231</v>
      </c>
      <c r="L210" s="4" t="s">
        <v>2573</v>
      </c>
      <c r="M210" s="4" t="s">
        <v>9</v>
      </c>
      <c r="N210" s="5">
        <v>42527</v>
      </c>
      <c r="O210" s="5" t="s">
        <v>2224</v>
      </c>
      <c r="P210" s="4" t="s">
        <v>2224</v>
      </c>
      <c r="Q210" s="4" t="s">
        <v>2574</v>
      </c>
      <c r="R210" s="4" t="s">
        <v>2226</v>
      </c>
      <c r="S210" s="4" t="s">
        <v>2227</v>
      </c>
      <c r="T210" s="4" t="s">
        <v>2228</v>
      </c>
      <c r="U210" s="4" t="s">
        <v>2237</v>
      </c>
      <c r="V210" s="4" t="s">
        <v>125</v>
      </c>
      <c r="W210" s="4" t="s">
        <v>2278</v>
      </c>
      <c r="X210" s="4" t="s">
        <v>2224</v>
      </c>
      <c r="Y210" s="4" t="s">
        <v>2239</v>
      </c>
      <c r="Z210" s="6">
        <v>16081.7</v>
      </c>
      <c r="AA210" s="6">
        <v>192980.4</v>
      </c>
      <c r="AB210" s="4" t="s">
        <v>2232</v>
      </c>
      <c r="AC210" s="7" t="s">
        <v>2224</v>
      </c>
    </row>
    <row r="211" spans="1:29" ht="15" customHeight="1" collapsed="1" thickBot="1" x14ac:dyDescent="0.3">
      <c r="A211" s="20" t="str">
        <f>CONCATENATE("197"," - ","MISS", " ","Naseema"," ", "Hassan")</f>
        <v>197 - MISS Naseema Hassan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2"/>
    </row>
    <row r="212" spans="1:29" ht="15" hidden="1" customHeight="1" outlineLevel="1" thickBot="1" x14ac:dyDescent="0.3">
      <c r="A212" s="4" t="s">
        <v>2575</v>
      </c>
      <c r="B212" s="4" t="s">
        <v>400</v>
      </c>
      <c r="C212" s="4" t="s">
        <v>2220</v>
      </c>
      <c r="D212" s="5">
        <v>42962.549999999996</v>
      </c>
      <c r="E212" s="4" t="s">
        <v>2221</v>
      </c>
      <c r="F212" s="4" t="s">
        <v>2222</v>
      </c>
      <c r="G212" s="4" t="s">
        <v>2234</v>
      </c>
      <c r="H212" s="4" t="s">
        <v>797</v>
      </c>
      <c r="I212" s="4" t="s">
        <v>1525</v>
      </c>
      <c r="J212" s="4" t="s">
        <v>1524</v>
      </c>
      <c r="K212" s="5">
        <v>34274</v>
      </c>
      <c r="L212" s="4" t="s">
        <v>2576</v>
      </c>
      <c r="M212" s="4" t="s">
        <v>9</v>
      </c>
      <c r="N212" s="5">
        <v>41491</v>
      </c>
      <c r="O212" s="5" t="s">
        <v>2224</v>
      </c>
      <c r="P212" s="4" t="s">
        <v>2224</v>
      </c>
      <c r="Q212" s="4" t="s">
        <v>2577</v>
      </c>
      <c r="R212" s="4" t="s">
        <v>2226</v>
      </c>
      <c r="S212" s="4" t="s">
        <v>2227</v>
      </c>
      <c r="T212" s="4" t="s">
        <v>2228</v>
      </c>
      <c r="U212" s="4" t="s">
        <v>2237</v>
      </c>
      <c r="V212" s="4" t="s">
        <v>125</v>
      </c>
      <c r="W212" s="4" t="s">
        <v>2278</v>
      </c>
      <c r="X212" s="4" t="s">
        <v>2224</v>
      </c>
      <c r="Y212" s="4" t="s">
        <v>2239</v>
      </c>
      <c r="Z212" s="6">
        <v>19891.599999999999</v>
      </c>
      <c r="AA212" s="6">
        <v>238699.2</v>
      </c>
      <c r="AB212" s="4" t="s">
        <v>2232</v>
      </c>
      <c r="AC212" s="7" t="s">
        <v>2224</v>
      </c>
    </row>
    <row r="213" spans="1:29" ht="15" customHeight="1" collapsed="1" thickBot="1" x14ac:dyDescent="0.3">
      <c r="A213" s="20" t="str">
        <f>CONCATENATE("198"," - ","MISS", " ","Dhilnawaaz"," ", "Hassim")</f>
        <v>198 - MISS Dhilnawaaz Hassim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2"/>
    </row>
    <row r="214" spans="1:29" ht="15" hidden="1" customHeight="1" outlineLevel="1" thickBot="1" x14ac:dyDescent="0.3">
      <c r="A214" s="4" t="s">
        <v>2578</v>
      </c>
      <c r="B214" s="4" t="s">
        <v>392</v>
      </c>
      <c r="C214" s="4" t="s">
        <v>2220</v>
      </c>
      <c r="D214" s="5">
        <v>42962.549999999996</v>
      </c>
      <c r="E214" s="4" t="s">
        <v>2221</v>
      </c>
      <c r="F214" s="4" t="s">
        <v>2222</v>
      </c>
      <c r="G214" s="4" t="s">
        <v>2234</v>
      </c>
      <c r="H214" s="4" t="s">
        <v>1187</v>
      </c>
      <c r="I214" s="4" t="s">
        <v>1512</v>
      </c>
      <c r="J214" s="4" t="s">
        <v>1511</v>
      </c>
      <c r="K214" s="5">
        <v>34574</v>
      </c>
      <c r="L214" s="4" t="s">
        <v>2579</v>
      </c>
      <c r="M214" s="4" t="s">
        <v>9</v>
      </c>
      <c r="N214" s="5">
        <v>41478</v>
      </c>
      <c r="O214" s="5" t="s">
        <v>2224</v>
      </c>
      <c r="P214" s="4" t="s">
        <v>2224</v>
      </c>
      <c r="Q214" s="4" t="s">
        <v>2580</v>
      </c>
      <c r="R214" s="4" t="s">
        <v>2226</v>
      </c>
      <c r="S214" s="4" t="s">
        <v>2227</v>
      </c>
      <c r="T214" s="4" t="s">
        <v>2228</v>
      </c>
      <c r="U214" s="4" t="s">
        <v>2237</v>
      </c>
      <c r="V214" s="4" t="s">
        <v>8</v>
      </c>
      <c r="W214" s="4" t="s">
        <v>2278</v>
      </c>
      <c r="X214" s="4" t="s">
        <v>2224</v>
      </c>
      <c r="Y214" s="4" t="s">
        <v>2239</v>
      </c>
      <c r="Z214" s="6">
        <v>16692.34</v>
      </c>
      <c r="AA214" s="6">
        <v>200308.08</v>
      </c>
      <c r="AB214" s="4" t="s">
        <v>2232</v>
      </c>
      <c r="AC214" s="7" t="s">
        <v>2224</v>
      </c>
    </row>
    <row r="215" spans="1:29" ht="15" customHeight="1" collapsed="1" thickBot="1" x14ac:dyDescent="0.3">
      <c r="A215" s="20" t="str">
        <f>CONCATENATE("199"," - ","MISS", " ","Tatum"," ", "Haupt")</f>
        <v>199 - MISS Tatum Haupt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2"/>
    </row>
    <row r="216" spans="1:29" ht="15" hidden="1" customHeight="1" outlineLevel="1" thickBot="1" x14ac:dyDescent="0.3">
      <c r="A216" s="4" t="s">
        <v>2581</v>
      </c>
      <c r="B216" s="4" t="s">
        <v>354</v>
      </c>
      <c r="C216" s="4" t="s">
        <v>2220</v>
      </c>
      <c r="D216" s="5">
        <v>42962.549999999996</v>
      </c>
      <c r="E216" s="4" t="s">
        <v>2221</v>
      </c>
      <c r="F216" s="4" t="s">
        <v>2222</v>
      </c>
      <c r="G216" s="4" t="s">
        <v>2234</v>
      </c>
      <c r="H216" s="4" t="s">
        <v>1301</v>
      </c>
      <c r="I216" s="4" t="s">
        <v>1447</v>
      </c>
      <c r="J216" s="4" t="s">
        <v>1446</v>
      </c>
      <c r="K216" s="5">
        <v>32104</v>
      </c>
      <c r="L216" s="4" t="s">
        <v>2582</v>
      </c>
      <c r="M216" s="4" t="s">
        <v>9</v>
      </c>
      <c r="N216" s="5">
        <v>41307</v>
      </c>
      <c r="O216" s="5" t="s">
        <v>2224</v>
      </c>
      <c r="P216" s="4" t="s">
        <v>2224</v>
      </c>
      <c r="Q216" s="4" t="s">
        <v>2583</v>
      </c>
      <c r="R216" s="4" t="s">
        <v>2226</v>
      </c>
      <c r="S216" s="4" t="s">
        <v>2227</v>
      </c>
      <c r="T216" s="4" t="s">
        <v>2228</v>
      </c>
      <c r="U216" s="4" t="s">
        <v>2237</v>
      </c>
      <c r="V216" s="4" t="s">
        <v>125</v>
      </c>
      <c r="W216" s="4" t="s">
        <v>2230</v>
      </c>
      <c r="X216" s="4" t="s">
        <v>2224</v>
      </c>
      <c r="Y216" s="4" t="s">
        <v>2239</v>
      </c>
      <c r="Z216" s="6">
        <v>20646.896499999999</v>
      </c>
      <c r="AA216" s="6">
        <v>247762.76</v>
      </c>
      <c r="AB216" s="4" t="s">
        <v>2232</v>
      </c>
      <c r="AC216" s="7" t="s">
        <v>2224</v>
      </c>
    </row>
    <row r="217" spans="1:29" ht="15" customHeight="1" collapsed="1" thickBot="1" x14ac:dyDescent="0.3">
      <c r="A217" s="20" t="str">
        <f>CONCATENATE("200"," - ","MR", " ","Gordon"," ", "Hayward")</f>
        <v>200 - MR Gordon Hayward</v>
      </c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2"/>
    </row>
    <row r="218" spans="1:29" ht="15" hidden="1" customHeight="1" outlineLevel="1" thickBot="1" x14ac:dyDescent="0.3">
      <c r="A218" s="4" t="s">
        <v>2584</v>
      </c>
      <c r="B218" s="4" t="s">
        <v>23</v>
      </c>
      <c r="C218" s="4" t="s">
        <v>2220</v>
      </c>
      <c r="D218" s="5">
        <v>42962.521527777775</v>
      </c>
      <c r="E218" s="4" t="s">
        <v>2221</v>
      </c>
      <c r="F218" s="4" t="s">
        <v>2222</v>
      </c>
      <c r="G218" s="4" t="s">
        <v>2014</v>
      </c>
      <c r="H218" s="4" t="s">
        <v>805</v>
      </c>
      <c r="I218" s="4" t="s">
        <v>806</v>
      </c>
      <c r="J218" s="4" t="s">
        <v>804</v>
      </c>
      <c r="K218" s="5">
        <v>19337</v>
      </c>
      <c r="L218" s="4" t="s">
        <v>2585</v>
      </c>
      <c r="M218" s="4" t="s">
        <v>9</v>
      </c>
      <c r="N218" s="5">
        <v>38978</v>
      </c>
      <c r="O218" s="5" t="s">
        <v>2224</v>
      </c>
      <c r="P218" s="4" t="s">
        <v>2224</v>
      </c>
      <c r="Q218" s="4" t="s">
        <v>2586</v>
      </c>
      <c r="R218" s="4" t="s">
        <v>2226</v>
      </c>
      <c r="S218" s="4" t="s">
        <v>2227</v>
      </c>
      <c r="T218" s="4" t="s">
        <v>2228</v>
      </c>
      <c r="U218" s="4" t="s">
        <v>2258</v>
      </c>
      <c r="V218" s="4" t="s">
        <v>13</v>
      </c>
      <c r="W218" s="4" t="s">
        <v>2587</v>
      </c>
      <c r="X218" s="4" t="s">
        <v>2224</v>
      </c>
      <c r="Y218" s="4" t="s">
        <v>2259</v>
      </c>
      <c r="Z218" s="6">
        <v>64321.203600000001</v>
      </c>
      <c r="AA218" s="6">
        <v>771854.44</v>
      </c>
      <c r="AB218" s="4" t="s">
        <v>2232</v>
      </c>
      <c r="AC218" s="7" t="s">
        <v>2224</v>
      </c>
    </row>
    <row r="219" spans="1:29" ht="15" customHeight="1" collapsed="1" thickBot="1" x14ac:dyDescent="0.3">
      <c r="A219" s="20" t="str">
        <f>CONCATENATE("201"," - ","MR", " ","Braunwynn"," ", "Hendriks")</f>
        <v>201 - MR Braunwynn Hendriks</v>
      </c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2"/>
    </row>
    <row r="220" spans="1:29" ht="15" hidden="1" customHeight="1" outlineLevel="1" thickBot="1" x14ac:dyDescent="0.3">
      <c r="A220" s="4" t="s">
        <v>2588</v>
      </c>
      <c r="B220" s="4" t="s">
        <v>473</v>
      </c>
      <c r="C220" s="4" t="s">
        <v>2220</v>
      </c>
      <c r="D220" s="5">
        <v>42962.461111111108</v>
      </c>
      <c r="E220" s="4" t="s">
        <v>2221</v>
      </c>
      <c r="F220" s="4" t="s">
        <v>2222</v>
      </c>
      <c r="G220" s="4" t="s">
        <v>2014</v>
      </c>
      <c r="H220" s="4" t="s">
        <v>1679</v>
      </c>
      <c r="I220" s="4" t="s">
        <v>1680</v>
      </c>
      <c r="J220" s="4" t="s">
        <v>1678</v>
      </c>
      <c r="K220" s="5">
        <v>32204</v>
      </c>
      <c r="L220" s="4" t="s">
        <v>2589</v>
      </c>
      <c r="M220" s="4" t="s">
        <v>9</v>
      </c>
      <c r="N220" s="5">
        <v>41821</v>
      </c>
      <c r="O220" s="5" t="s">
        <v>2224</v>
      </c>
      <c r="P220" s="4" t="s">
        <v>2224</v>
      </c>
      <c r="Q220" s="4" t="s">
        <v>2590</v>
      </c>
      <c r="R220" s="4" t="s">
        <v>2226</v>
      </c>
      <c r="S220" s="4" t="s">
        <v>2227</v>
      </c>
      <c r="T220" s="4" t="s">
        <v>2228</v>
      </c>
      <c r="U220" s="4" t="s">
        <v>2229</v>
      </c>
      <c r="V220" s="4" t="s">
        <v>25</v>
      </c>
      <c r="W220" s="4" t="s">
        <v>2278</v>
      </c>
      <c r="X220" s="4" t="s">
        <v>2224</v>
      </c>
      <c r="Y220" s="4" t="s">
        <v>2380</v>
      </c>
      <c r="Z220" s="6">
        <v>10844.028399999999</v>
      </c>
      <c r="AA220" s="6">
        <v>130128.34</v>
      </c>
      <c r="AB220" s="4" t="s">
        <v>2232</v>
      </c>
      <c r="AC220" s="7" t="s">
        <v>2224</v>
      </c>
    </row>
    <row r="221" spans="1:29" ht="15" customHeight="1" collapsed="1" thickBot="1" x14ac:dyDescent="0.3">
      <c r="A221" s="20" t="str">
        <f>CONCATENATE("203"," - ","MRS", " ","Sandra"," ", "Herbert")</f>
        <v>203 - MRS Sandra Herbert</v>
      </c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2"/>
    </row>
    <row r="222" spans="1:29" ht="15" hidden="1" customHeight="1" outlineLevel="1" thickBot="1" x14ac:dyDescent="0.3">
      <c r="A222" s="4" t="s">
        <v>2591</v>
      </c>
      <c r="B222" s="4" t="s">
        <v>137</v>
      </c>
      <c r="C222" s="4" t="s">
        <v>2220</v>
      </c>
      <c r="D222" s="5">
        <v>42962.535416666666</v>
      </c>
      <c r="E222" s="4" t="s">
        <v>2221</v>
      </c>
      <c r="F222" s="4" t="s">
        <v>2222</v>
      </c>
      <c r="G222" s="4" t="s">
        <v>2280</v>
      </c>
      <c r="H222" s="4" t="s">
        <v>1030</v>
      </c>
      <c r="I222" s="4" t="s">
        <v>1031</v>
      </c>
      <c r="J222" s="4" t="s">
        <v>1029</v>
      </c>
      <c r="K222" s="5">
        <v>22347</v>
      </c>
      <c r="L222" s="4" t="s">
        <v>2592</v>
      </c>
      <c r="M222" s="4" t="s">
        <v>9</v>
      </c>
      <c r="N222" s="5">
        <v>39128</v>
      </c>
      <c r="O222" s="5" t="s">
        <v>2224</v>
      </c>
      <c r="P222" s="4" t="s">
        <v>2224</v>
      </c>
      <c r="Q222" s="4" t="s">
        <v>2593</v>
      </c>
      <c r="R222" s="4" t="s">
        <v>2226</v>
      </c>
      <c r="S222" s="4" t="s">
        <v>2227</v>
      </c>
      <c r="T222" s="4" t="s">
        <v>2228</v>
      </c>
      <c r="U222" s="4" t="s">
        <v>2248</v>
      </c>
      <c r="V222" s="4" t="s">
        <v>130</v>
      </c>
      <c r="W222" s="4" t="s">
        <v>2249</v>
      </c>
      <c r="X222" s="4" t="s">
        <v>2224</v>
      </c>
      <c r="Y222" s="4" t="s">
        <v>2259</v>
      </c>
      <c r="Z222" s="6">
        <v>24706.092100000002</v>
      </c>
      <c r="AA222" s="6">
        <v>296473.11</v>
      </c>
      <c r="AB222" s="4" t="s">
        <v>2232</v>
      </c>
      <c r="AC222" s="7" t="s">
        <v>2224</v>
      </c>
    </row>
    <row r="223" spans="1:29" ht="15" customHeight="1" collapsed="1" thickBot="1" x14ac:dyDescent="0.3">
      <c r="A223" s="20" t="str">
        <f>CONCATENATE("204"," - ","MRS", " ","Johanna"," ", "Heron")</f>
        <v>204 - MRS Johanna Heron</v>
      </c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2"/>
    </row>
    <row r="224" spans="1:29" ht="15" hidden="1" customHeight="1" outlineLevel="1" thickBot="1" x14ac:dyDescent="0.3">
      <c r="A224" s="4" t="s">
        <v>2594</v>
      </c>
      <c r="B224" s="4" t="s">
        <v>117</v>
      </c>
      <c r="C224" s="4" t="s">
        <v>2220</v>
      </c>
      <c r="D224" s="5">
        <v>42951.397222222222</v>
      </c>
      <c r="E224" s="4" t="s">
        <v>2221</v>
      </c>
      <c r="F224" s="4" t="s">
        <v>2222</v>
      </c>
      <c r="G224" s="4" t="s">
        <v>2280</v>
      </c>
      <c r="H224" s="4" t="s">
        <v>996</v>
      </c>
      <c r="I224" s="4" t="s">
        <v>997</v>
      </c>
      <c r="J224" s="4" t="s">
        <v>995</v>
      </c>
      <c r="K224" s="5">
        <v>18749</v>
      </c>
      <c r="L224" s="4" t="s">
        <v>2595</v>
      </c>
      <c r="M224" s="4" t="s">
        <v>9</v>
      </c>
      <c r="N224" s="5">
        <v>39048</v>
      </c>
      <c r="O224" s="5" t="s">
        <v>2224</v>
      </c>
      <c r="P224" s="4" t="s">
        <v>2224</v>
      </c>
      <c r="Q224" s="4" t="s">
        <v>2596</v>
      </c>
      <c r="R224" s="4" t="s">
        <v>2226</v>
      </c>
      <c r="S224" s="4" t="s">
        <v>2227</v>
      </c>
      <c r="T224" s="4" t="s">
        <v>2228</v>
      </c>
      <c r="U224" s="4" t="s">
        <v>2248</v>
      </c>
      <c r="V224" s="4" t="s">
        <v>118</v>
      </c>
      <c r="W224" s="4" t="s">
        <v>2249</v>
      </c>
      <c r="X224" s="4" t="s">
        <v>2224</v>
      </c>
      <c r="Y224" s="4" t="s">
        <v>2597</v>
      </c>
      <c r="Z224" s="6">
        <v>52935.722399999999</v>
      </c>
      <c r="AA224" s="6">
        <v>635228.67000000004</v>
      </c>
      <c r="AB224" s="4" t="s">
        <v>2232</v>
      </c>
      <c r="AC224" s="7" t="s">
        <v>2598</v>
      </c>
    </row>
    <row r="225" spans="1:29" ht="15" customHeight="1" collapsed="1" thickBot="1" x14ac:dyDescent="0.3">
      <c r="A225" s="20" t="str">
        <f>CONCATENATE("205"," - ","MR", " ","Denis"," ", "Hewartson")</f>
        <v>205 - MR Denis Hewartson</v>
      </c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2"/>
    </row>
    <row r="226" spans="1:29" ht="15" hidden="1" customHeight="1" outlineLevel="1" thickBot="1" x14ac:dyDescent="0.3">
      <c r="A226" s="4" t="s">
        <v>2599</v>
      </c>
      <c r="B226" s="4" t="s">
        <v>503</v>
      </c>
      <c r="C226" s="4" t="s">
        <v>2220</v>
      </c>
      <c r="D226" s="5">
        <v>42963.288194444445</v>
      </c>
      <c r="E226" s="4" t="s">
        <v>2221</v>
      </c>
      <c r="F226" s="4" t="s">
        <v>2222</v>
      </c>
      <c r="G226" s="4" t="s">
        <v>2014</v>
      </c>
      <c r="H226" s="4" t="s">
        <v>1739</v>
      </c>
      <c r="I226" s="4" t="s">
        <v>1740</v>
      </c>
      <c r="J226" s="4" t="s">
        <v>1738</v>
      </c>
      <c r="K226" s="5">
        <v>26372</v>
      </c>
      <c r="L226" s="4" t="s">
        <v>2600</v>
      </c>
      <c r="M226" s="4" t="s">
        <v>9</v>
      </c>
      <c r="N226" s="5">
        <v>41974</v>
      </c>
      <c r="O226" s="5" t="s">
        <v>2224</v>
      </c>
      <c r="P226" s="4" t="s">
        <v>2224</v>
      </c>
      <c r="Q226" s="4" t="s">
        <v>2601</v>
      </c>
      <c r="R226" s="4" t="s">
        <v>2226</v>
      </c>
      <c r="S226" s="4" t="s">
        <v>2227</v>
      </c>
      <c r="T226" s="4" t="s">
        <v>2228</v>
      </c>
      <c r="U226" s="4" t="s">
        <v>2258</v>
      </c>
      <c r="V226" s="4" t="s">
        <v>13</v>
      </c>
      <c r="W226" s="4" t="s">
        <v>2249</v>
      </c>
      <c r="X226" s="4" t="s">
        <v>2224</v>
      </c>
      <c r="Y226" s="4" t="s">
        <v>2259</v>
      </c>
      <c r="Z226" s="6">
        <v>105531.5736</v>
      </c>
      <c r="AA226" s="6">
        <v>1266378.8799999999</v>
      </c>
      <c r="AB226" s="4" t="s">
        <v>2232</v>
      </c>
      <c r="AC226" s="7" t="s">
        <v>2224</v>
      </c>
    </row>
    <row r="227" spans="1:29" ht="15" customHeight="1" collapsed="1" thickBot="1" x14ac:dyDescent="0.3">
      <c r="A227" s="20" t="str">
        <f>CONCATENATE("207"," - ","MISS", " ","NOMPUMELELO"," ", "HLONGWANE")</f>
        <v>207 - MISS NOMPUMELELO HLONGWANE</v>
      </c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2"/>
    </row>
    <row r="228" spans="1:29" ht="15" hidden="1" customHeight="1" outlineLevel="1" thickBot="1" x14ac:dyDescent="0.3">
      <c r="A228" s="4" t="s">
        <v>2602</v>
      </c>
      <c r="B228" s="4" t="s">
        <v>156</v>
      </c>
      <c r="C228" s="4" t="s">
        <v>2220</v>
      </c>
      <c r="D228" s="5">
        <v>42962.461805555555</v>
      </c>
      <c r="E228" s="4" t="s">
        <v>2221</v>
      </c>
      <c r="F228" s="4" t="s">
        <v>2222</v>
      </c>
      <c r="G228" s="4" t="s">
        <v>2234</v>
      </c>
      <c r="H228" s="4" t="s">
        <v>797</v>
      </c>
      <c r="I228" s="4" t="s">
        <v>1067</v>
      </c>
      <c r="J228" s="4" t="s">
        <v>1066</v>
      </c>
      <c r="K228" s="5">
        <v>27340</v>
      </c>
      <c r="L228" s="4" t="s">
        <v>2603</v>
      </c>
      <c r="M228" s="4" t="s">
        <v>9</v>
      </c>
      <c r="N228" s="5">
        <v>39387</v>
      </c>
      <c r="O228" s="5" t="s">
        <v>2224</v>
      </c>
      <c r="P228" s="4" t="s">
        <v>2224</v>
      </c>
      <c r="Q228" s="4" t="s">
        <v>2604</v>
      </c>
      <c r="R228" s="4" t="s">
        <v>2226</v>
      </c>
      <c r="S228" s="4" t="s">
        <v>2227</v>
      </c>
      <c r="T228" s="4" t="s">
        <v>2228</v>
      </c>
      <c r="U228" s="4" t="s">
        <v>2229</v>
      </c>
      <c r="V228" s="4" t="s">
        <v>25</v>
      </c>
      <c r="W228" s="4" t="s">
        <v>2278</v>
      </c>
      <c r="X228" s="4" t="s">
        <v>2224</v>
      </c>
      <c r="Y228" s="4" t="s">
        <v>2449</v>
      </c>
      <c r="Z228" s="6">
        <v>17112.251499999998</v>
      </c>
      <c r="AA228" s="6">
        <v>205347.02</v>
      </c>
      <c r="AB228" s="4" t="s">
        <v>2232</v>
      </c>
      <c r="AC228" s="7" t="s">
        <v>2224</v>
      </c>
    </row>
    <row r="229" spans="1:29" ht="15" customHeight="1" collapsed="1" thickBot="1" x14ac:dyDescent="0.3">
      <c r="A229" s="20" t="str">
        <f>CONCATENATE("208"," - ","MISS", " ","Thembsile"," ", "Hlongwane")</f>
        <v>208 - MISS Thembsile Hlongwane</v>
      </c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2"/>
    </row>
    <row r="230" spans="1:29" ht="15" hidden="1" customHeight="1" outlineLevel="1" thickBot="1" x14ac:dyDescent="0.3">
      <c r="A230" s="4" t="s">
        <v>2605</v>
      </c>
      <c r="B230" s="4" t="s">
        <v>30</v>
      </c>
      <c r="C230" s="4" t="s">
        <v>2220</v>
      </c>
      <c r="D230" s="5">
        <v>42962.462500000001</v>
      </c>
      <c r="E230" s="4" t="s">
        <v>2221</v>
      </c>
      <c r="F230" s="4" t="s">
        <v>2222</v>
      </c>
      <c r="G230" s="4" t="s">
        <v>2234</v>
      </c>
      <c r="H230" s="4" t="s">
        <v>819</v>
      </c>
      <c r="I230" s="4" t="s">
        <v>820</v>
      </c>
      <c r="J230" s="4" t="s">
        <v>818</v>
      </c>
      <c r="K230" s="5">
        <v>28819</v>
      </c>
      <c r="L230" s="4" t="s">
        <v>2606</v>
      </c>
      <c r="M230" s="4" t="s">
        <v>9</v>
      </c>
      <c r="N230" s="5">
        <v>38985</v>
      </c>
      <c r="O230" s="5" t="s">
        <v>2224</v>
      </c>
      <c r="P230" s="4" t="s">
        <v>2224</v>
      </c>
      <c r="Q230" s="4" t="s">
        <v>2607</v>
      </c>
      <c r="R230" s="4" t="s">
        <v>2226</v>
      </c>
      <c r="S230" s="4" t="s">
        <v>2227</v>
      </c>
      <c r="T230" s="4" t="s">
        <v>2228</v>
      </c>
      <c r="U230" s="4" t="s">
        <v>2248</v>
      </c>
      <c r="V230" s="4" t="s">
        <v>25</v>
      </c>
      <c r="W230" s="4" t="s">
        <v>2608</v>
      </c>
      <c r="X230" s="4" t="s">
        <v>2224</v>
      </c>
      <c r="Y230" s="4" t="s">
        <v>2609</v>
      </c>
      <c r="Z230" s="6">
        <v>17112.2621</v>
      </c>
      <c r="AA230" s="6">
        <v>205347.15</v>
      </c>
      <c r="AB230" s="4" t="s">
        <v>2232</v>
      </c>
      <c r="AC230" s="7" t="s">
        <v>2224</v>
      </c>
    </row>
    <row r="231" spans="1:29" ht="15" customHeight="1" collapsed="1" thickBot="1" x14ac:dyDescent="0.3">
      <c r="A231" s="20" t="str">
        <f>CONCATENATE("210"," - ","MISS", " ","Chelarn"," ", "Holiday")</f>
        <v>210 - MISS Chelarn Holiday</v>
      </c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2"/>
    </row>
    <row r="232" spans="1:29" ht="15" hidden="1" customHeight="1" outlineLevel="1" thickBot="1" x14ac:dyDescent="0.3">
      <c r="A232" s="4" t="s">
        <v>2610</v>
      </c>
      <c r="B232" s="4" t="s">
        <v>212</v>
      </c>
      <c r="C232" s="4" t="s">
        <v>2220</v>
      </c>
      <c r="D232" s="5">
        <v>42962.549999999996</v>
      </c>
      <c r="E232" s="4" t="s">
        <v>2221</v>
      </c>
      <c r="F232" s="4" t="s">
        <v>2222</v>
      </c>
      <c r="G232" s="4" t="s">
        <v>2234</v>
      </c>
      <c r="H232" s="4" t="s">
        <v>1182</v>
      </c>
      <c r="I232" s="4" t="s">
        <v>1183</v>
      </c>
      <c r="J232" s="4" t="s">
        <v>1181</v>
      </c>
      <c r="K232" s="5">
        <v>33172</v>
      </c>
      <c r="L232" s="4" t="s">
        <v>2611</v>
      </c>
      <c r="M232" s="4" t="s">
        <v>9</v>
      </c>
      <c r="N232" s="5">
        <v>40008</v>
      </c>
      <c r="O232" s="5" t="s">
        <v>2224</v>
      </c>
      <c r="P232" s="4" t="s">
        <v>2224</v>
      </c>
      <c r="Q232" s="4" t="s">
        <v>2612</v>
      </c>
      <c r="R232" s="4" t="s">
        <v>2226</v>
      </c>
      <c r="S232" s="4" t="s">
        <v>2227</v>
      </c>
      <c r="T232" s="4" t="s">
        <v>2228</v>
      </c>
      <c r="U232" s="4" t="s">
        <v>2237</v>
      </c>
      <c r="V232" s="4" t="s">
        <v>125</v>
      </c>
      <c r="W232" s="4" t="s">
        <v>2230</v>
      </c>
      <c r="X232" s="4" t="s">
        <v>2224</v>
      </c>
      <c r="Y232" s="4" t="s">
        <v>2239</v>
      </c>
      <c r="Z232" s="6">
        <v>20646.900000000001</v>
      </c>
      <c r="AA232" s="6">
        <v>247762.8</v>
      </c>
      <c r="AB232" s="4" t="s">
        <v>2232</v>
      </c>
      <c r="AC232" s="7" t="s">
        <v>2224</v>
      </c>
    </row>
    <row r="233" spans="1:29" ht="15" customHeight="1" collapsed="1" thickBot="1" x14ac:dyDescent="0.3">
      <c r="A233" s="20" t="str">
        <f>CONCATENATE("211"," - ","MR", " ","Sahil"," ", "Hoosen")</f>
        <v>211 - MR Sahil Hoosen</v>
      </c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2"/>
    </row>
    <row r="234" spans="1:29" ht="15" hidden="1" customHeight="1" outlineLevel="1" thickBot="1" x14ac:dyDescent="0.3">
      <c r="A234" s="4" t="s">
        <v>2613</v>
      </c>
      <c r="B234" s="4" t="s">
        <v>233</v>
      </c>
      <c r="C234" s="4" t="s">
        <v>2220</v>
      </c>
      <c r="D234" s="5">
        <v>42962.462500000001</v>
      </c>
      <c r="E234" s="4" t="s">
        <v>2221</v>
      </c>
      <c r="F234" s="4" t="s">
        <v>2222</v>
      </c>
      <c r="G234" s="4" t="s">
        <v>2014</v>
      </c>
      <c r="H234" s="4" t="s">
        <v>800</v>
      </c>
      <c r="I234" s="4" t="s">
        <v>1231</v>
      </c>
      <c r="J234" s="4" t="s">
        <v>1230</v>
      </c>
      <c r="K234" s="5">
        <v>29715</v>
      </c>
      <c r="L234" s="4" t="s">
        <v>2614</v>
      </c>
      <c r="M234" s="4" t="s">
        <v>9</v>
      </c>
      <c r="N234" s="5">
        <v>40299</v>
      </c>
      <c r="O234" s="5" t="s">
        <v>2224</v>
      </c>
      <c r="P234" s="4" t="s">
        <v>2224</v>
      </c>
      <c r="Q234" s="4" t="s">
        <v>2615</v>
      </c>
      <c r="R234" s="4" t="s">
        <v>2226</v>
      </c>
      <c r="S234" s="4" t="s">
        <v>2227</v>
      </c>
      <c r="T234" s="4" t="s">
        <v>2228</v>
      </c>
      <c r="U234" s="4" t="s">
        <v>2229</v>
      </c>
      <c r="V234" s="4" t="s">
        <v>116</v>
      </c>
      <c r="W234" s="4" t="s">
        <v>2278</v>
      </c>
      <c r="X234" s="4" t="s">
        <v>2224</v>
      </c>
      <c r="Y234" s="4" t="s">
        <v>2549</v>
      </c>
      <c r="Z234" s="6">
        <v>26469.989399999999</v>
      </c>
      <c r="AA234" s="6">
        <v>317639.87</v>
      </c>
      <c r="AB234" s="4" t="s">
        <v>2232</v>
      </c>
      <c r="AC234" s="7" t="s">
        <v>2224</v>
      </c>
    </row>
    <row r="235" spans="1:29" ht="15" customHeight="1" collapsed="1" thickBot="1" x14ac:dyDescent="0.3">
      <c r="A235" s="20" t="str">
        <f>CONCATENATE("212"," - ","MS", " ","Netika"," ", "Hurka")</f>
        <v>212 - MS Netika Hurka</v>
      </c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2"/>
    </row>
    <row r="236" spans="1:29" ht="15" hidden="1" customHeight="1" outlineLevel="1" thickBot="1" x14ac:dyDescent="0.3">
      <c r="A236" s="4" t="s">
        <v>2616</v>
      </c>
      <c r="B236" s="4" t="s">
        <v>638</v>
      </c>
      <c r="C236" s="4" t="s">
        <v>2220</v>
      </c>
      <c r="D236" s="5">
        <v>42962.549999999996</v>
      </c>
      <c r="E236" s="4" t="s">
        <v>2221</v>
      </c>
      <c r="F236" s="4" t="s">
        <v>2222</v>
      </c>
      <c r="G236" s="4" t="s">
        <v>813</v>
      </c>
      <c r="H236" s="4" t="s">
        <v>797</v>
      </c>
      <c r="I236" s="4" t="s">
        <v>1962</v>
      </c>
      <c r="J236" s="4" t="s">
        <v>1961</v>
      </c>
      <c r="K236" s="5">
        <v>34740</v>
      </c>
      <c r="L236" s="4" t="s">
        <v>2617</v>
      </c>
      <c r="M236" s="4" t="s">
        <v>9</v>
      </c>
      <c r="N236" s="5">
        <v>42317</v>
      </c>
      <c r="O236" s="5" t="s">
        <v>2224</v>
      </c>
      <c r="P236" s="4" t="s">
        <v>2224</v>
      </c>
      <c r="Q236" s="4" t="s">
        <v>2552</v>
      </c>
      <c r="R236" s="4" t="s">
        <v>2226</v>
      </c>
      <c r="S236" s="4" t="s">
        <v>2227</v>
      </c>
      <c r="T236" s="4" t="s">
        <v>2228</v>
      </c>
      <c r="U236" s="4" t="s">
        <v>2237</v>
      </c>
      <c r="V236" s="4" t="s">
        <v>125</v>
      </c>
      <c r="W236" s="4" t="s">
        <v>2278</v>
      </c>
      <c r="X236" s="4" t="s">
        <v>2224</v>
      </c>
      <c r="Y236" s="4" t="s">
        <v>2239</v>
      </c>
      <c r="Z236" s="6">
        <v>16081.7</v>
      </c>
      <c r="AA236" s="6">
        <v>192980.4</v>
      </c>
      <c r="AB236" s="4" t="s">
        <v>2232</v>
      </c>
      <c r="AC236" s="7" t="s">
        <v>2224</v>
      </c>
    </row>
    <row r="237" spans="1:29" ht="15" customHeight="1" collapsed="1" thickBot="1" x14ac:dyDescent="0.3">
      <c r="A237" s="20" t="str">
        <f>CONCATENATE("213"," - ","MR", " ","Cecil"," ", "Hutchings")</f>
        <v>213 - MR Cecil Hutchings</v>
      </c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2"/>
    </row>
    <row r="238" spans="1:29" ht="15" hidden="1" customHeight="1" outlineLevel="1" thickBot="1" x14ac:dyDescent="0.3">
      <c r="A238" s="4" t="s">
        <v>2618</v>
      </c>
      <c r="B238" s="4" t="s">
        <v>102</v>
      </c>
      <c r="C238" s="4" t="s">
        <v>2220</v>
      </c>
      <c r="D238" s="5">
        <v>42962.461805555555</v>
      </c>
      <c r="E238" s="4" t="s">
        <v>2221</v>
      </c>
      <c r="F238" s="4" t="s">
        <v>2222</v>
      </c>
      <c r="G238" s="4" t="s">
        <v>2014</v>
      </c>
      <c r="H238" s="4" t="s">
        <v>965</v>
      </c>
      <c r="I238" s="4" t="s">
        <v>966</v>
      </c>
      <c r="J238" s="4" t="s">
        <v>964</v>
      </c>
      <c r="K238" s="5">
        <v>27083</v>
      </c>
      <c r="L238" s="4" t="s">
        <v>2619</v>
      </c>
      <c r="M238" s="4" t="s">
        <v>9</v>
      </c>
      <c r="N238" s="5">
        <v>39021</v>
      </c>
      <c r="O238" s="5" t="s">
        <v>2224</v>
      </c>
      <c r="P238" s="4" t="s">
        <v>2224</v>
      </c>
      <c r="Q238" s="4" t="s">
        <v>2620</v>
      </c>
      <c r="R238" s="4" t="s">
        <v>2226</v>
      </c>
      <c r="S238" s="4" t="s">
        <v>2227</v>
      </c>
      <c r="T238" s="4" t="s">
        <v>2228</v>
      </c>
      <c r="U238" s="4" t="s">
        <v>2248</v>
      </c>
      <c r="V238" s="4" t="s">
        <v>753</v>
      </c>
      <c r="W238" s="4" t="s">
        <v>2249</v>
      </c>
      <c r="X238" s="4" t="s">
        <v>2224</v>
      </c>
      <c r="Y238" s="4" t="s">
        <v>2621</v>
      </c>
      <c r="Z238" s="6">
        <v>28987.3711</v>
      </c>
      <c r="AA238" s="6">
        <v>347848.45</v>
      </c>
      <c r="AB238" s="4" t="s">
        <v>2232</v>
      </c>
      <c r="AC238" s="7" t="s">
        <v>2224</v>
      </c>
    </row>
    <row r="239" spans="1:29" ht="15" customHeight="1" collapsed="1" thickBot="1" x14ac:dyDescent="0.3">
      <c r="A239" s="20" t="str">
        <f>CONCATENATE("214"," - ","MR", " ","Bruce"," ", "Hyde")</f>
        <v>214 - MR Bruce Hyde</v>
      </c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2"/>
    </row>
    <row r="240" spans="1:29" ht="15" hidden="1" customHeight="1" outlineLevel="1" thickBot="1" x14ac:dyDescent="0.3">
      <c r="A240" s="4" t="s">
        <v>2622</v>
      </c>
      <c r="B240" s="4" t="s">
        <v>201</v>
      </c>
      <c r="C240" s="4" t="s">
        <v>2220</v>
      </c>
      <c r="D240" s="5">
        <v>42963.279861111107</v>
      </c>
      <c r="E240" s="4" t="s">
        <v>2221</v>
      </c>
      <c r="F240" s="4" t="s">
        <v>2222</v>
      </c>
      <c r="G240" s="4" t="s">
        <v>2014</v>
      </c>
      <c r="H240" s="4" t="s">
        <v>1155</v>
      </c>
      <c r="I240" s="4" t="s">
        <v>1156</v>
      </c>
      <c r="J240" s="4" t="s">
        <v>1154</v>
      </c>
      <c r="K240" s="5">
        <v>27193</v>
      </c>
      <c r="L240" s="4" t="s">
        <v>2623</v>
      </c>
      <c r="M240" s="4" t="s">
        <v>9</v>
      </c>
      <c r="N240" s="5">
        <v>39601</v>
      </c>
      <c r="O240" s="5" t="s">
        <v>2224</v>
      </c>
      <c r="P240" s="4" t="s">
        <v>2224</v>
      </c>
      <c r="Q240" s="4" t="s">
        <v>2624</v>
      </c>
      <c r="R240" s="4" t="s">
        <v>2226</v>
      </c>
      <c r="S240" s="4" t="s">
        <v>2227</v>
      </c>
      <c r="T240" s="4" t="s">
        <v>2228</v>
      </c>
      <c r="U240" s="4" t="s">
        <v>2258</v>
      </c>
      <c r="V240" s="4" t="s">
        <v>202</v>
      </c>
      <c r="W240" s="4" t="s">
        <v>2249</v>
      </c>
      <c r="X240" s="4" t="s">
        <v>2224</v>
      </c>
      <c r="Y240" s="4" t="s">
        <v>2259</v>
      </c>
      <c r="Z240" s="6">
        <v>160920.76999999999</v>
      </c>
      <c r="AA240" s="6">
        <v>1931049.24</v>
      </c>
      <c r="AB240" s="4" t="s">
        <v>2232</v>
      </c>
      <c r="AC240" s="7" t="s">
        <v>2224</v>
      </c>
    </row>
    <row r="241" spans="1:29" ht="15" customHeight="1" collapsed="1" thickBot="1" x14ac:dyDescent="0.3">
      <c r="A241" s="20" t="str">
        <f>CONCATENATE("215"," - ","MRS", " ","Mandy"," ", "Immelman")</f>
        <v>215 - MRS Mandy Immelman</v>
      </c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2"/>
    </row>
    <row r="242" spans="1:29" ht="15" hidden="1" customHeight="1" outlineLevel="1" thickBot="1" x14ac:dyDescent="0.3">
      <c r="A242" s="4" t="s">
        <v>2625</v>
      </c>
      <c r="B242" s="4" t="s">
        <v>333</v>
      </c>
      <c r="C242" s="4" t="s">
        <v>2220</v>
      </c>
      <c r="D242" s="5">
        <v>42963.294444444444</v>
      </c>
      <c r="E242" s="4" t="s">
        <v>2221</v>
      </c>
      <c r="F242" s="4" t="s">
        <v>2222</v>
      </c>
      <c r="G242" s="4" t="s">
        <v>2280</v>
      </c>
      <c r="H242" s="4" t="s">
        <v>1408</v>
      </c>
      <c r="I242" s="4" t="s">
        <v>1409</v>
      </c>
      <c r="J242" s="4" t="s">
        <v>1407</v>
      </c>
      <c r="K242" s="5">
        <v>27380</v>
      </c>
      <c r="L242" s="4" t="s">
        <v>2626</v>
      </c>
      <c r="M242" s="4" t="s">
        <v>9</v>
      </c>
      <c r="N242" s="5">
        <v>41261</v>
      </c>
      <c r="O242" s="5" t="s">
        <v>2224</v>
      </c>
      <c r="P242" s="4" t="s">
        <v>2224</v>
      </c>
      <c r="Q242" s="4" t="s">
        <v>2627</v>
      </c>
      <c r="R242" s="4" t="s">
        <v>2226</v>
      </c>
      <c r="S242" s="4" t="s">
        <v>2227</v>
      </c>
      <c r="T242" s="4" t="s">
        <v>2228</v>
      </c>
      <c r="U242" s="4" t="s">
        <v>2248</v>
      </c>
      <c r="V242" s="4" t="s">
        <v>334</v>
      </c>
      <c r="W242" s="4" t="s">
        <v>2249</v>
      </c>
      <c r="X242" s="4" t="s">
        <v>2224</v>
      </c>
      <c r="Y242" s="4" t="s">
        <v>2259</v>
      </c>
      <c r="Z242" s="6">
        <v>50028.3</v>
      </c>
      <c r="AA242" s="6">
        <v>600339.6</v>
      </c>
      <c r="AB242" s="4" t="s">
        <v>2232</v>
      </c>
      <c r="AC242" s="7" t="s">
        <v>2224</v>
      </c>
    </row>
    <row r="243" spans="1:29" ht="15" customHeight="1" collapsed="1" thickBot="1" x14ac:dyDescent="0.3">
      <c r="A243" s="20" t="str">
        <f>CONCATENATE("216"," - ","MR", " ","Clement"," ", "Isaacs")</f>
        <v>216 - MR Clement Isaacs</v>
      </c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2"/>
    </row>
    <row r="244" spans="1:29" ht="15" hidden="1" customHeight="1" outlineLevel="1" thickBot="1" x14ac:dyDescent="0.3">
      <c r="A244" s="4" t="s">
        <v>2628</v>
      </c>
      <c r="B244" s="4" t="s">
        <v>298</v>
      </c>
      <c r="C244" s="4" t="s">
        <v>2220</v>
      </c>
      <c r="D244" s="5">
        <v>42962.461111111108</v>
      </c>
      <c r="E244" s="4" t="s">
        <v>2221</v>
      </c>
      <c r="F244" s="4" t="s">
        <v>2222</v>
      </c>
      <c r="G244" s="4" t="s">
        <v>2014</v>
      </c>
      <c r="H244" s="4" t="s">
        <v>743</v>
      </c>
      <c r="I244" s="4" t="s">
        <v>1344</v>
      </c>
      <c r="J244" s="4" t="s">
        <v>1343</v>
      </c>
      <c r="K244" s="5">
        <v>32452</v>
      </c>
      <c r="L244" s="4" t="s">
        <v>2629</v>
      </c>
      <c r="M244" s="4" t="s">
        <v>9</v>
      </c>
      <c r="N244" s="5">
        <v>40969</v>
      </c>
      <c r="O244" s="5" t="s">
        <v>2224</v>
      </c>
      <c r="P244" s="4" t="s">
        <v>2224</v>
      </c>
      <c r="Q244" s="4" t="s">
        <v>2630</v>
      </c>
      <c r="R244" s="4" t="s">
        <v>2226</v>
      </c>
      <c r="S244" s="4" t="s">
        <v>2227</v>
      </c>
      <c r="T244" s="4" t="s">
        <v>2228</v>
      </c>
      <c r="U244" s="4" t="s">
        <v>2229</v>
      </c>
      <c r="V244" s="4" t="s">
        <v>17</v>
      </c>
      <c r="W244" s="4" t="s">
        <v>2230</v>
      </c>
      <c r="X244" s="4" t="s">
        <v>2224</v>
      </c>
      <c r="Y244" s="4" t="s">
        <v>2631</v>
      </c>
      <c r="Z244" s="6">
        <v>20904.989600000001</v>
      </c>
      <c r="AA244" s="6">
        <v>250859.88</v>
      </c>
      <c r="AB244" s="4" t="s">
        <v>2232</v>
      </c>
      <c r="AC244" s="7" t="s">
        <v>2224</v>
      </c>
    </row>
    <row r="245" spans="1:29" ht="15" customHeight="1" collapsed="1" thickBot="1" x14ac:dyDescent="0.3">
      <c r="A245" s="20" t="str">
        <f>CONCATENATE("217"," - ","MISS", " ","Watiefa"," ", "Isaacs")</f>
        <v>217 - MISS Watiefa Isaacs</v>
      </c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2"/>
    </row>
    <row r="246" spans="1:29" ht="15" hidden="1" customHeight="1" outlineLevel="1" thickBot="1" x14ac:dyDescent="0.3">
      <c r="A246" s="4" t="s">
        <v>2632</v>
      </c>
      <c r="B246" s="4" t="s">
        <v>427</v>
      </c>
      <c r="C246" s="4" t="s">
        <v>2220</v>
      </c>
      <c r="D246" s="5">
        <v>42962.549999999996</v>
      </c>
      <c r="E246" s="4" t="s">
        <v>2221</v>
      </c>
      <c r="F246" s="4" t="s">
        <v>2222</v>
      </c>
      <c r="G246" s="4" t="s">
        <v>2234</v>
      </c>
      <c r="H246" s="4" t="s">
        <v>745</v>
      </c>
      <c r="I246" s="4" t="s">
        <v>1582</v>
      </c>
      <c r="J246" s="4" t="s">
        <v>1343</v>
      </c>
      <c r="K246" s="5">
        <v>24862</v>
      </c>
      <c r="L246" s="4" t="s">
        <v>2633</v>
      </c>
      <c r="M246" s="4" t="s">
        <v>9</v>
      </c>
      <c r="N246" s="5">
        <v>41568</v>
      </c>
      <c r="O246" s="5" t="s">
        <v>2224</v>
      </c>
      <c r="P246" s="4" t="s">
        <v>2224</v>
      </c>
      <c r="Q246" s="4" t="s">
        <v>2634</v>
      </c>
      <c r="R246" s="4" t="s">
        <v>2226</v>
      </c>
      <c r="S246" s="4" t="s">
        <v>2227</v>
      </c>
      <c r="T246" s="4" t="s">
        <v>2228</v>
      </c>
      <c r="U246" s="4" t="s">
        <v>2237</v>
      </c>
      <c r="V246" s="4" t="s">
        <v>125</v>
      </c>
      <c r="W246" s="4" t="s">
        <v>2230</v>
      </c>
      <c r="X246" s="4" t="s">
        <v>2224</v>
      </c>
      <c r="Y246" s="4" t="s">
        <v>2239</v>
      </c>
      <c r="Z246" s="6">
        <v>20392</v>
      </c>
      <c r="AA246" s="6">
        <v>244704</v>
      </c>
      <c r="AB246" s="4" t="s">
        <v>2232</v>
      </c>
      <c r="AC246" s="7" t="s">
        <v>2224</v>
      </c>
    </row>
    <row r="247" spans="1:29" ht="15" customHeight="1" collapsed="1" thickBot="1" x14ac:dyDescent="0.3">
      <c r="A247" s="20" t="str">
        <f>CONCATENATE("218"," - ","MISS", " ","Kerisha"," ", "Ishwar")</f>
        <v>218 - MISS Kerisha Ishwar</v>
      </c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2"/>
    </row>
    <row r="248" spans="1:29" ht="15" hidden="1" customHeight="1" outlineLevel="1" thickBot="1" x14ac:dyDescent="0.3">
      <c r="A248" s="4" t="s">
        <v>2635</v>
      </c>
      <c r="B248" s="4" t="s">
        <v>386</v>
      </c>
      <c r="C248" s="4" t="s">
        <v>2220</v>
      </c>
      <c r="D248" s="5">
        <v>42962.549999999996</v>
      </c>
      <c r="E248" s="4" t="s">
        <v>2221</v>
      </c>
      <c r="F248" s="4" t="s">
        <v>2222</v>
      </c>
      <c r="G248" s="4" t="s">
        <v>2234</v>
      </c>
      <c r="H248" s="4" t="s">
        <v>1120</v>
      </c>
      <c r="I248" s="4" t="s">
        <v>1502</v>
      </c>
      <c r="J248" s="4" t="s">
        <v>1501</v>
      </c>
      <c r="K248" s="5">
        <v>33408</v>
      </c>
      <c r="L248" s="4" t="s">
        <v>2636</v>
      </c>
      <c r="M248" s="4" t="s">
        <v>9</v>
      </c>
      <c r="N248" s="5">
        <v>41465</v>
      </c>
      <c r="O248" s="5" t="s">
        <v>2224</v>
      </c>
      <c r="P248" s="4" t="s">
        <v>2224</v>
      </c>
      <c r="Q248" s="4" t="s">
        <v>2637</v>
      </c>
      <c r="R248" s="4" t="s">
        <v>2226</v>
      </c>
      <c r="S248" s="4" t="s">
        <v>2227</v>
      </c>
      <c r="T248" s="4" t="s">
        <v>2228</v>
      </c>
      <c r="U248" s="4" t="s">
        <v>2237</v>
      </c>
      <c r="V248" s="4" t="s">
        <v>8</v>
      </c>
      <c r="W248" s="4" t="s">
        <v>2278</v>
      </c>
      <c r="X248" s="4" t="s">
        <v>2224</v>
      </c>
      <c r="Y248" s="4" t="s">
        <v>2239</v>
      </c>
      <c r="Z248" s="6">
        <v>16692.34</v>
      </c>
      <c r="AA248" s="6">
        <v>200308.08</v>
      </c>
      <c r="AB248" s="4" t="s">
        <v>2232</v>
      </c>
      <c r="AC248" s="7" t="s">
        <v>2224</v>
      </c>
    </row>
    <row r="249" spans="1:29" ht="15" customHeight="1" collapsed="1" thickBot="1" x14ac:dyDescent="0.3">
      <c r="A249" s="20" t="str">
        <f>CONCATENATE("219"," - ","MISS", " ","Sureksha"," ", "Ishwarduth")</f>
        <v>219 - MISS Sureksha Ishwarduth</v>
      </c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2"/>
    </row>
    <row r="250" spans="1:29" ht="15" hidden="1" customHeight="1" outlineLevel="1" thickBot="1" x14ac:dyDescent="0.3">
      <c r="A250" s="4" t="s">
        <v>2638</v>
      </c>
      <c r="B250" s="4" t="s">
        <v>420</v>
      </c>
      <c r="C250" s="4" t="s">
        <v>2220</v>
      </c>
      <c r="D250" s="5">
        <v>42962.549999999996</v>
      </c>
      <c r="E250" s="4" t="s">
        <v>2221</v>
      </c>
      <c r="F250" s="4" t="s">
        <v>2222</v>
      </c>
      <c r="G250" s="4" t="s">
        <v>2234</v>
      </c>
      <c r="H250" s="4" t="s">
        <v>800</v>
      </c>
      <c r="I250" s="4" t="s">
        <v>1568</v>
      </c>
      <c r="J250" s="4" t="s">
        <v>1567</v>
      </c>
      <c r="K250" s="5">
        <v>34093</v>
      </c>
      <c r="L250" s="4" t="s">
        <v>2639</v>
      </c>
      <c r="M250" s="4" t="s">
        <v>9</v>
      </c>
      <c r="N250" s="5">
        <v>41556</v>
      </c>
      <c r="O250" s="5" t="s">
        <v>2224</v>
      </c>
      <c r="P250" s="4" t="s">
        <v>2224</v>
      </c>
      <c r="Q250" s="4" t="s">
        <v>2640</v>
      </c>
      <c r="R250" s="4" t="s">
        <v>2226</v>
      </c>
      <c r="S250" s="4" t="s">
        <v>2227</v>
      </c>
      <c r="T250" s="4" t="s">
        <v>2228</v>
      </c>
      <c r="U250" s="4" t="s">
        <v>2237</v>
      </c>
      <c r="V250" s="4" t="s">
        <v>8</v>
      </c>
      <c r="W250" s="4" t="s">
        <v>2278</v>
      </c>
      <c r="X250" s="4" t="s">
        <v>2224</v>
      </c>
      <c r="Y250" s="4" t="s">
        <v>2239</v>
      </c>
      <c r="Z250" s="6">
        <v>16486.259999999998</v>
      </c>
      <c r="AA250" s="6">
        <v>197835.12</v>
      </c>
      <c r="AB250" s="4" t="s">
        <v>2232</v>
      </c>
      <c r="AC250" s="7" t="s">
        <v>2224</v>
      </c>
    </row>
    <row r="251" spans="1:29" ht="15" customHeight="1" collapsed="1" thickBot="1" x14ac:dyDescent="0.3">
      <c r="A251" s="20" t="str">
        <f>CONCATENATE("220"," - ","MISS", " ","Bianca"," ", "Izally")</f>
        <v>220 - MISS Bianca Izally</v>
      </c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2"/>
    </row>
    <row r="252" spans="1:29" ht="15" hidden="1" customHeight="1" outlineLevel="1" thickBot="1" x14ac:dyDescent="0.3">
      <c r="A252" s="4" t="s">
        <v>2641</v>
      </c>
      <c r="B252" s="4" t="s">
        <v>123</v>
      </c>
      <c r="C252" s="4" t="s">
        <v>2220</v>
      </c>
      <c r="D252" s="5">
        <v>42962.463194444441</v>
      </c>
      <c r="E252" s="4" t="s">
        <v>2221</v>
      </c>
      <c r="F252" s="4" t="s">
        <v>2222</v>
      </c>
      <c r="G252" s="4" t="s">
        <v>2234</v>
      </c>
      <c r="H252" s="4" t="s">
        <v>1005</v>
      </c>
      <c r="I252" s="4" t="s">
        <v>1006</v>
      </c>
      <c r="J252" s="4" t="s">
        <v>1004</v>
      </c>
      <c r="K252" s="5">
        <v>32107</v>
      </c>
      <c r="L252" s="4" t="s">
        <v>2642</v>
      </c>
      <c r="M252" s="4" t="s">
        <v>9</v>
      </c>
      <c r="N252" s="5">
        <v>39062</v>
      </c>
      <c r="O252" s="5" t="s">
        <v>2224</v>
      </c>
      <c r="P252" s="4" t="s">
        <v>2224</v>
      </c>
      <c r="Q252" s="4" t="s">
        <v>2643</v>
      </c>
      <c r="R252" s="4" t="s">
        <v>2226</v>
      </c>
      <c r="S252" s="4" t="s">
        <v>2227</v>
      </c>
      <c r="T252" s="4" t="s">
        <v>2228</v>
      </c>
      <c r="U252" s="4" t="s">
        <v>2248</v>
      </c>
      <c r="V252" s="4" t="s">
        <v>122</v>
      </c>
      <c r="W252" s="4" t="s">
        <v>2249</v>
      </c>
      <c r="X252" s="4" t="s">
        <v>2224</v>
      </c>
      <c r="Y252" s="4" t="s">
        <v>2250</v>
      </c>
      <c r="Z252" s="6">
        <v>19058.400000000001</v>
      </c>
      <c r="AA252" s="6">
        <v>228700.79999999999</v>
      </c>
      <c r="AB252" s="4" t="s">
        <v>2232</v>
      </c>
      <c r="AC252" s="7" t="s">
        <v>2224</v>
      </c>
    </row>
    <row r="253" spans="1:29" ht="15" customHeight="1" collapsed="1" thickBot="1" x14ac:dyDescent="0.3">
      <c r="A253" s="20" t="str">
        <f>CONCATENATE("221"," - ","MR", " ","Daniel"," ", "Jacobs")</f>
        <v>221 - MR Daniel Jacobs</v>
      </c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2"/>
    </row>
    <row r="254" spans="1:29" ht="15" hidden="1" customHeight="1" outlineLevel="1" thickBot="1" x14ac:dyDescent="0.3">
      <c r="A254" s="4" t="s">
        <v>2644</v>
      </c>
      <c r="B254" s="4" t="s">
        <v>206</v>
      </c>
      <c r="C254" s="4" t="s">
        <v>2220</v>
      </c>
      <c r="D254" s="5">
        <v>42963.279861111107</v>
      </c>
      <c r="E254" s="4" t="s">
        <v>2221</v>
      </c>
      <c r="F254" s="4" t="s">
        <v>2222</v>
      </c>
      <c r="G254" s="4" t="s">
        <v>2014</v>
      </c>
      <c r="H254" s="4" t="s">
        <v>1165</v>
      </c>
      <c r="I254" s="4" t="s">
        <v>1166</v>
      </c>
      <c r="J254" s="4" t="s">
        <v>1164</v>
      </c>
      <c r="K254" s="5">
        <v>26850</v>
      </c>
      <c r="L254" s="4" t="s">
        <v>2645</v>
      </c>
      <c r="M254" s="4" t="s">
        <v>9</v>
      </c>
      <c r="N254" s="5">
        <v>39703</v>
      </c>
      <c r="O254" s="5" t="s">
        <v>2224</v>
      </c>
      <c r="P254" s="4" t="s">
        <v>2224</v>
      </c>
      <c r="Q254" s="4" t="s">
        <v>2646</v>
      </c>
      <c r="R254" s="4" t="s">
        <v>2226</v>
      </c>
      <c r="S254" s="4" t="s">
        <v>2227</v>
      </c>
      <c r="T254" s="4" t="s">
        <v>2228</v>
      </c>
      <c r="U254" s="4" t="s">
        <v>2258</v>
      </c>
      <c r="V254" s="4" t="s">
        <v>198</v>
      </c>
      <c r="W254" s="4" t="s">
        <v>2249</v>
      </c>
      <c r="X254" s="4" t="s">
        <v>2224</v>
      </c>
      <c r="Y254" s="4" t="s">
        <v>2259</v>
      </c>
      <c r="Z254" s="6">
        <v>142614.84239999999</v>
      </c>
      <c r="AA254" s="6">
        <v>1711378.11</v>
      </c>
      <c r="AB254" s="4" t="s">
        <v>2232</v>
      </c>
      <c r="AC254" s="7" t="s">
        <v>2224</v>
      </c>
    </row>
    <row r="255" spans="1:29" ht="15" customHeight="1" collapsed="1" thickBot="1" x14ac:dyDescent="0.3">
      <c r="A255" s="20" t="str">
        <f>CONCATENATE("222"," - ","MRS", " ","Roshnee"," ", "Jagtee")</f>
        <v>222 - MRS Roshnee Jagtee</v>
      </c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2"/>
    </row>
    <row r="256" spans="1:29" ht="15" hidden="1" customHeight="1" outlineLevel="1" thickBot="1" x14ac:dyDescent="0.3">
      <c r="A256" s="4" t="s">
        <v>2647</v>
      </c>
      <c r="B256" s="4" t="s">
        <v>425</v>
      </c>
      <c r="C256" s="4" t="s">
        <v>2220</v>
      </c>
      <c r="D256" s="5">
        <v>42962.549999999996</v>
      </c>
      <c r="E256" s="4" t="s">
        <v>2221</v>
      </c>
      <c r="F256" s="4" t="s">
        <v>2222</v>
      </c>
      <c r="G256" s="4" t="s">
        <v>2280</v>
      </c>
      <c r="H256" s="4" t="s">
        <v>844</v>
      </c>
      <c r="I256" s="4" t="s">
        <v>1579</v>
      </c>
      <c r="J256" s="4" t="s">
        <v>1578</v>
      </c>
      <c r="K256" s="5">
        <v>23980</v>
      </c>
      <c r="L256" s="4" t="s">
        <v>2648</v>
      </c>
      <c r="M256" s="4" t="s">
        <v>9</v>
      </c>
      <c r="N256" s="5">
        <v>41556</v>
      </c>
      <c r="O256" s="5" t="s">
        <v>2224</v>
      </c>
      <c r="P256" s="4" t="s">
        <v>2224</v>
      </c>
      <c r="Q256" s="4" t="s">
        <v>2649</v>
      </c>
      <c r="R256" s="4" t="s">
        <v>2226</v>
      </c>
      <c r="S256" s="4" t="s">
        <v>2227</v>
      </c>
      <c r="T256" s="4" t="s">
        <v>2228</v>
      </c>
      <c r="U256" s="4" t="s">
        <v>2237</v>
      </c>
      <c r="V256" s="4" t="s">
        <v>125</v>
      </c>
      <c r="W256" s="4" t="s">
        <v>2230</v>
      </c>
      <c r="X256" s="4" t="s">
        <v>2224</v>
      </c>
      <c r="Y256" s="4" t="s">
        <v>2239</v>
      </c>
      <c r="Z256" s="6">
        <v>20646.900000000001</v>
      </c>
      <c r="AA256" s="6">
        <v>247762.8</v>
      </c>
      <c r="AB256" s="4" t="s">
        <v>2232</v>
      </c>
      <c r="AC256" s="7" t="s">
        <v>2224</v>
      </c>
    </row>
    <row r="257" spans="1:29" ht="15" customHeight="1" collapsed="1" thickBot="1" x14ac:dyDescent="0.3">
      <c r="A257" s="20" t="str">
        <f>CONCATENATE("223"," - ","MRS", " ","Lindie"," ", "Jamneck")</f>
        <v>223 - MRS Lindie Jamneck</v>
      </c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2"/>
    </row>
    <row r="258" spans="1:29" ht="15" hidden="1" customHeight="1" outlineLevel="1" thickBot="1" x14ac:dyDescent="0.3">
      <c r="A258" s="4" t="s">
        <v>2650</v>
      </c>
      <c r="B258" s="4" t="s">
        <v>249</v>
      </c>
      <c r="C258" s="4" t="s">
        <v>2220</v>
      </c>
      <c r="D258" s="5">
        <v>42962.461805555555</v>
      </c>
      <c r="E258" s="4" t="s">
        <v>2221</v>
      </c>
      <c r="F258" s="4" t="s">
        <v>2222</v>
      </c>
      <c r="G258" s="4" t="s">
        <v>2280</v>
      </c>
      <c r="H258" s="4" t="s">
        <v>826</v>
      </c>
      <c r="I258" s="4" t="s">
        <v>1254</v>
      </c>
      <c r="J258" s="4" t="s">
        <v>1253</v>
      </c>
      <c r="K258" s="5">
        <v>31638</v>
      </c>
      <c r="L258" s="4" t="s">
        <v>2651</v>
      </c>
      <c r="M258" s="4" t="s">
        <v>9</v>
      </c>
      <c r="N258" s="5">
        <v>40483</v>
      </c>
      <c r="O258" s="5" t="s">
        <v>2224</v>
      </c>
      <c r="P258" s="4" t="s">
        <v>2224</v>
      </c>
      <c r="Q258" s="4" t="s">
        <v>2652</v>
      </c>
      <c r="R258" s="4" t="s">
        <v>2226</v>
      </c>
      <c r="S258" s="4" t="s">
        <v>2227</v>
      </c>
      <c r="T258" s="4" t="s">
        <v>2228</v>
      </c>
      <c r="U258" s="4" t="s">
        <v>2229</v>
      </c>
      <c r="V258" s="4" t="s">
        <v>25</v>
      </c>
      <c r="W258" s="4" t="s">
        <v>2278</v>
      </c>
      <c r="X258" s="4" t="s">
        <v>2224</v>
      </c>
      <c r="Y258" s="4" t="s">
        <v>2653</v>
      </c>
      <c r="Z258" s="6">
        <v>16486.2572</v>
      </c>
      <c r="AA258" s="6">
        <v>197835.09</v>
      </c>
      <c r="AB258" s="4" t="s">
        <v>2232</v>
      </c>
      <c r="AC258" s="7" t="s">
        <v>2224</v>
      </c>
    </row>
    <row r="259" spans="1:29" ht="15" customHeight="1" collapsed="1" thickBot="1" x14ac:dyDescent="0.3">
      <c r="A259" s="20" t="str">
        <f>CONCATENATE("224"," - ","MRS", " ","Cleo"," ", "Jansen")</f>
        <v>224 - MRS Cleo Jansen</v>
      </c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2"/>
    </row>
    <row r="260" spans="1:29" ht="15" hidden="1" customHeight="1" outlineLevel="1" thickBot="1" x14ac:dyDescent="0.3">
      <c r="A260" s="4" t="s">
        <v>2654</v>
      </c>
      <c r="B260" s="4" t="s">
        <v>157</v>
      </c>
      <c r="C260" s="4" t="s">
        <v>2220</v>
      </c>
      <c r="D260" s="5">
        <v>42962.549999999996</v>
      </c>
      <c r="E260" s="4" t="s">
        <v>2221</v>
      </c>
      <c r="F260" s="4" t="s">
        <v>2222</v>
      </c>
      <c r="G260" s="4" t="s">
        <v>2280</v>
      </c>
      <c r="H260" s="4" t="s">
        <v>1069</v>
      </c>
      <c r="I260" s="4" t="s">
        <v>1070</v>
      </c>
      <c r="J260" s="4" t="s">
        <v>1068</v>
      </c>
      <c r="K260" s="5">
        <v>32197</v>
      </c>
      <c r="L260" s="4" t="s">
        <v>2655</v>
      </c>
      <c r="M260" s="4" t="s">
        <v>9</v>
      </c>
      <c r="N260" s="5">
        <v>39387</v>
      </c>
      <c r="O260" s="5" t="s">
        <v>2224</v>
      </c>
      <c r="P260" s="4" t="s">
        <v>2224</v>
      </c>
      <c r="Q260" s="4" t="s">
        <v>2656</v>
      </c>
      <c r="R260" s="4" t="s">
        <v>2226</v>
      </c>
      <c r="S260" s="4" t="s">
        <v>2227</v>
      </c>
      <c r="T260" s="4" t="s">
        <v>2228</v>
      </c>
      <c r="U260" s="4" t="s">
        <v>2237</v>
      </c>
      <c r="V260" s="4" t="s">
        <v>125</v>
      </c>
      <c r="W260" s="4" t="s">
        <v>2238</v>
      </c>
      <c r="X260" s="4" t="s">
        <v>2224</v>
      </c>
      <c r="Y260" s="4" t="s">
        <v>2239</v>
      </c>
      <c r="Z260" s="6">
        <v>19891.599999999999</v>
      </c>
      <c r="AA260" s="6">
        <v>238699.2</v>
      </c>
      <c r="AB260" s="4" t="s">
        <v>2232</v>
      </c>
      <c r="AC260" s="7" t="s">
        <v>2224</v>
      </c>
    </row>
    <row r="261" spans="1:29" ht="15" customHeight="1" collapsed="1" thickBot="1" x14ac:dyDescent="0.3">
      <c r="A261" s="20" t="str">
        <f>CONCATENATE("225"," - ","MR", " ","Fabian"," ", "Jantjies")</f>
        <v>225 - MR Fabian Jantjies</v>
      </c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2"/>
    </row>
    <row r="262" spans="1:29" ht="15" hidden="1" customHeight="1" outlineLevel="1" thickBot="1" x14ac:dyDescent="0.3">
      <c r="A262" s="4" t="s">
        <v>2657</v>
      </c>
      <c r="B262" s="4" t="s">
        <v>574</v>
      </c>
      <c r="C262" s="4" t="s">
        <v>2220</v>
      </c>
      <c r="D262" s="5">
        <v>42962.461111111108</v>
      </c>
      <c r="E262" s="4" t="s">
        <v>2221</v>
      </c>
      <c r="F262" s="4" t="s">
        <v>2222</v>
      </c>
      <c r="G262" s="4" t="s">
        <v>2014</v>
      </c>
      <c r="H262" s="4" t="s">
        <v>841</v>
      </c>
      <c r="I262" s="4" t="s">
        <v>1869</v>
      </c>
      <c r="J262" s="4" t="s">
        <v>1868</v>
      </c>
      <c r="K262" s="5">
        <v>34319</v>
      </c>
      <c r="L262" s="4" t="s">
        <v>2658</v>
      </c>
      <c r="M262" s="4" t="s">
        <v>9</v>
      </c>
      <c r="N262" s="5">
        <v>42135</v>
      </c>
      <c r="O262" s="5" t="s">
        <v>2224</v>
      </c>
      <c r="P262" s="4" t="s">
        <v>2224</v>
      </c>
      <c r="Q262" s="4" t="s">
        <v>2659</v>
      </c>
      <c r="R262" s="4" t="s">
        <v>2226</v>
      </c>
      <c r="S262" s="4" t="s">
        <v>2227</v>
      </c>
      <c r="T262" s="4" t="s">
        <v>2228</v>
      </c>
      <c r="U262" s="4" t="s">
        <v>2229</v>
      </c>
      <c r="V262" s="4" t="s">
        <v>25</v>
      </c>
      <c r="W262" s="4" t="s">
        <v>2278</v>
      </c>
      <c r="X262" s="4" t="s">
        <v>2224</v>
      </c>
      <c r="Y262" s="4" t="s">
        <v>2380</v>
      </c>
      <c r="Z262" s="6">
        <v>10710.1538</v>
      </c>
      <c r="AA262" s="6">
        <v>128521.85</v>
      </c>
      <c r="AB262" s="4" t="s">
        <v>2232</v>
      </c>
      <c r="AC262" s="7" t="s">
        <v>2224</v>
      </c>
    </row>
    <row r="263" spans="1:29" ht="15" customHeight="1" collapsed="1" thickBot="1" x14ac:dyDescent="0.3">
      <c r="A263" s="20" t="str">
        <f>CONCATENATE("226"," - ","MR", " ","Marshline"," ", "Jefthas")</f>
        <v>226 - MR Marshline Jefthas</v>
      </c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2"/>
    </row>
    <row r="264" spans="1:29" ht="15" hidden="1" customHeight="1" outlineLevel="1" thickBot="1" x14ac:dyDescent="0.3">
      <c r="A264" s="4" t="s">
        <v>2660</v>
      </c>
      <c r="B264" s="4" t="s">
        <v>143</v>
      </c>
      <c r="C264" s="4" t="s">
        <v>2220</v>
      </c>
      <c r="D264" s="5">
        <v>42962.461111111108</v>
      </c>
      <c r="E264" s="4" t="s">
        <v>2221</v>
      </c>
      <c r="F264" s="4" t="s">
        <v>2222</v>
      </c>
      <c r="G264" s="4" t="s">
        <v>2014</v>
      </c>
      <c r="H264" s="4" t="s">
        <v>788</v>
      </c>
      <c r="I264" s="4" t="s">
        <v>1043</v>
      </c>
      <c r="J264" s="4" t="s">
        <v>1042</v>
      </c>
      <c r="K264" s="5">
        <v>27146</v>
      </c>
      <c r="L264" s="4" t="s">
        <v>2661</v>
      </c>
      <c r="M264" s="4" t="s">
        <v>9</v>
      </c>
      <c r="N264" s="5">
        <v>39321</v>
      </c>
      <c r="O264" s="5" t="s">
        <v>2224</v>
      </c>
      <c r="P264" s="4" t="s">
        <v>2224</v>
      </c>
      <c r="Q264" s="4" t="s">
        <v>2662</v>
      </c>
      <c r="R264" s="4" t="s">
        <v>2226</v>
      </c>
      <c r="S264" s="4" t="s">
        <v>2227</v>
      </c>
      <c r="T264" s="4" t="s">
        <v>2228</v>
      </c>
      <c r="U264" s="4" t="s">
        <v>2229</v>
      </c>
      <c r="V264" s="4" t="s">
        <v>25</v>
      </c>
      <c r="W264" s="4" t="s">
        <v>2278</v>
      </c>
      <c r="X264" s="4" t="s">
        <v>2224</v>
      </c>
      <c r="Y264" s="4" t="s">
        <v>2380</v>
      </c>
      <c r="Z264" s="6">
        <v>17112.251499999998</v>
      </c>
      <c r="AA264" s="6">
        <v>205347.02</v>
      </c>
      <c r="AB264" s="4" t="s">
        <v>2232</v>
      </c>
      <c r="AC264" s="7" t="s">
        <v>2224</v>
      </c>
    </row>
    <row r="265" spans="1:29" ht="15" customHeight="1" collapsed="1" thickBot="1" x14ac:dyDescent="0.3">
      <c r="A265" s="20" t="str">
        <f>CONCATENATE("228"," - ","MISS", " ","Taryn"," ", "Johnson")</f>
        <v>228 - MISS Taryn Johnson</v>
      </c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2"/>
    </row>
    <row r="266" spans="1:29" ht="15" hidden="1" customHeight="1" outlineLevel="1" thickBot="1" x14ac:dyDescent="0.3">
      <c r="A266" s="4" t="s">
        <v>2663</v>
      </c>
      <c r="B266" s="4" t="s">
        <v>99</v>
      </c>
      <c r="C266" s="4" t="s">
        <v>2220</v>
      </c>
      <c r="D266" s="5">
        <v>42962.462500000001</v>
      </c>
      <c r="E266" s="4" t="s">
        <v>2221</v>
      </c>
      <c r="F266" s="4" t="s">
        <v>2222</v>
      </c>
      <c r="G266" s="4" t="s">
        <v>2234</v>
      </c>
      <c r="H266" s="4" t="s">
        <v>961</v>
      </c>
      <c r="I266" s="4" t="s">
        <v>962</v>
      </c>
      <c r="J266" s="4" t="s">
        <v>960</v>
      </c>
      <c r="K266" s="5">
        <v>31437</v>
      </c>
      <c r="L266" s="4" t="s">
        <v>2664</v>
      </c>
      <c r="M266" s="4" t="s">
        <v>9</v>
      </c>
      <c r="N266" s="5">
        <v>39020</v>
      </c>
      <c r="O266" s="5" t="s">
        <v>2224</v>
      </c>
      <c r="P266" s="4" t="s">
        <v>2224</v>
      </c>
      <c r="Q266" s="4" t="s">
        <v>2665</v>
      </c>
      <c r="R266" s="4" t="s">
        <v>2226</v>
      </c>
      <c r="S266" s="4" t="s">
        <v>2227</v>
      </c>
      <c r="T266" s="4" t="s">
        <v>2228</v>
      </c>
      <c r="U266" s="4" t="s">
        <v>2248</v>
      </c>
      <c r="V266" s="4" t="s">
        <v>100</v>
      </c>
      <c r="W266" s="4" t="s">
        <v>2230</v>
      </c>
      <c r="X266" s="4" t="s">
        <v>2224</v>
      </c>
      <c r="Y266" s="4" t="s">
        <v>2666</v>
      </c>
      <c r="Z266" s="6">
        <v>24210.22</v>
      </c>
      <c r="AA266" s="6">
        <v>290522.64</v>
      </c>
      <c r="AB266" s="4" t="s">
        <v>2232</v>
      </c>
      <c r="AC266" s="7" t="s">
        <v>2224</v>
      </c>
    </row>
    <row r="267" spans="1:29" ht="15" customHeight="1" collapsed="1" thickBot="1" x14ac:dyDescent="0.3">
      <c r="A267" s="20" t="str">
        <f>CONCATENATE("229"," - ","MR", " ","Mark"," ", "Jones")</f>
        <v>229 - MR Mark Jones</v>
      </c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2"/>
    </row>
    <row r="268" spans="1:29" ht="15" hidden="1" customHeight="1" outlineLevel="1" thickBot="1" x14ac:dyDescent="0.3">
      <c r="A268" s="4" t="s">
        <v>2667</v>
      </c>
      <c r="B268" s="4" t="s">
        <v>12</v>
      </c>
      <c r="C268" s="4" t="s">
        <v>2220</v>
      </c>
      <c r="D268" s="5">
        <v>42962.520833333328</v>
      </c>
      <c r="E268" s="4" t="s">
        <v>2221</v>
      </c>
      <c r="F268" s="4" t="s">
        <v>2222</v>
      </c>
      <c r="G268" s="4" t="s">
        <v>2014</v>
      </c>
      <c r="H268" s="4" t="s">
        <v>788</v>
      </c>
      <c r="I268" s="4" t="s">
        <v>789</v>
      </c>
      <c r="J268" s="4" t="s">
        <v>787</v>
      </c>
      <c r="K268" s="5">
        <v>27923</v>
      </c>
      <c r="L268" s="4" t="s">
        <v>2668</v>
      </c>
      <c r="M268" s="4" t="s">
        <v>9</v>
      </c>
      <c r="N268" s="5">
        <v>38946</v>
      </c>
      <c r="O268" s="5" t="s">
        <v>2224</v>
      </c>
      <c r="P268" s="4" t="s">
        <v>2224</v>
      </c>
      <c r="Q268" s="4" t="s">
        <v>2669</v>
      </c>
      <c r="R268" s="4" t="s">
        <v>2226</v>
      </c>
      <c r="S268" s="4" t="s">
        <v>2227</v>
      </c>
      <c r="T268" s="4" t="s">
        <v>2228</v>
      </c>
      <c r="U268" s="4" t="s">
        <v>2258</v>
      </c>
      <c r="V268" s="4" t="s">
        <v>13</v>
      </c>
      <c r="W268" s="4" t="s">
        <v>2587</v>
      </c>
      <c r="X268" s="4" t="s">
        <v>2224</v>
      </c>
      <c r="Y268" s="4" t="s">
        <v>2259</v>
      </c>
      <c r="Z268" s="6">
        <v>114230.7684</v>
      </c>
      <c r="AA268" s="6">
        <v>1370769.22</v>
      </c>
      <c r="AB268" s="4" t="s">
        <v>2232</v>
      </c>
      <c r="AC268" s="7" t="s">
        <v>2224</v>
      </c>
    </row>
    <row r="269" spans="1:29" ht="15" customHeight="1" collapsed="1" thickBot="1" x14ac:dyDescent="0.3">
      <c r="A269" s="20" t="str">
        <f>CONCATENATE("230"," - ","MR", " ","Mervyn"," ", "Jones")</f>
        <v>230 - MR Mervyn Jones</v>
      </c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2"/>
    </row>
    <row r="270" spans="1:29" ht="15" hidden="1" customHeight="1" outlineLevel="1" thickBot="1" x14ac:dyDescent="0.3">
      <c r="A270" s="4" t="s">
        <v>2670</v>
      </c>
      <c r="B270" s="4" t="s">
        <v>144</v>
      </c>
      <c r="C270" s="4" t="s">
        <v>2220</v>
      </c>
      <c r="D270" s="5">
        <v>42962.461111111108</v>
      </c>
      <c r="E270" s="4" t="s">
        <v>2221</v>
      </c>
      <c r="F270" s="4" t="s">
        <v>2222</v>
      </c>
      <c r="G270" s="4" t="s">
        <v>2014</v>
      </c>
      <c r="H270" s="4" t="s">
        <v>1044</v>
      </c>
      <c r="I270" s="4" t="s">
        <v>1045</v>
      </c>
      <c r="J270" s="4" t="s">
        <v>787</v>
      </c>
      <c r="K270" s="5">
        <v>26108</v>
      </c>
      <c r="L270" s="4" t="s">
        <v>2671</v>
      </c>
      <c r="M270" s="4" t="s">
        <v>9</v>
      </c>
      <c r="N270" s="5">
        <v>39326</v>
      </c>
      <c r="O270" s="5" t="s">
        <v>2224</v>
      </c>
      <c r="P270" s="4" t="s">
        <v>2224</v>
      </c>
      <c r="Q270" s="4" t="s">
        <v>2672</v>
      </c>
      <c r="R270" s="4" t="s">
        <v>2226</v>
      </c>
      <c r="S270" s="4" t="s">
        <v>2227</v>
      </c>
      <c r="T270" s="4" t="s">
        <v>2228</v>
      </c>
      <c r="U270" s="4" t="s">
        <v>2229</v>
      </c>
      <c r="V270" s="4" t="s">
        <v>25</v>
      </c>
      <c r="W270" s="4" t="s">
        <v>2278</v>
      </c>
      <c r="X270" s="4" t="s">
        <v>2224</v>
      </c>
      <c r="Y270" s="4" t="s">
        <v>2380</v>
      </c>
      <c r="Z270" s="6">
        <v>17112.251499999998</v>
      </c>
      <c r="AA270" s="6">
        <v>205347.02</v>
      </c>
      <c r="AB270" s="4" t="s">
        <v>2232</v>
      </c>
      <c r="AC270" s="7" t="s">
        <v>2224</v>
      </c>
    </row>
    <row r="271" spans="1:29" ht="15" customHeight="1" collapsed="1" thickBot="1" x14ac:dyDescent="0.3">
      <c r="A271" s="20" t="str">
        <f>CONCATENATE("231"," - ","MRS", " ","Lauren"," ", "Jonkers")</f>
        <v>231 - MRS Lauren Jonkers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2"/>
    </row>
    <row r="272" spans="1:29" ht="15" hidden="1" customHeight="1" outlineLevel="1" thickBot="1" x14ac:dyDescent="0.3">
      <c r="A272" s="4" t="s">
        <v>2673</v>
      </c>
      <c r="B272" s="4" t="s">
        <v>578</v>
      </c>
      <c r="C272" s="4" t="s">
        <v>2220</v>
      </c>
      <c r="D272" s="5">
        <v>42962.461111111108</v>
      </c>
      <c r="E272" s="4" t="s">
        <v>2221</v>
      </c>
      <c r="F272" s="4" t="s">
        <v>2222</v>
      </c>
      <c r="G272" s="4" t="s">
        <v>2280</v>
      </c>
      <c r="H272" s="4" t="s">
        <v>1876</v>
      </c>
      <c r="I272" s="4" t="s">
        <v>1384</v>
      </c>
      <c r="J272" s="4" t="s">
        <v>1875</v>
      </c>
      <c r="K272" s="5">
        <v>33067</v>
      </c>
      <c r="L272" s="4" t="s">
        <v>2674</v>
      </c>
      <c r="M272" s="4" t="s">
        <v>9</v>
      </c>
      <c r="N272" s="5">
        <v>42135</v>
      </c>
      <c r="O272" s="5" t="s">
        <v>2224</v>
      </c>
      <c r="P272" s="4" t="s">
        <v>2224</v>
      </c>
      <c r="Q272" s="4" t="s">
        <v>2675</v>
      </c>
      <c r="R272" s="4" t="s">
        <v>2226</v>
      </c>
      <c r="S272" s="4" t="s">
        <v>2227</v>
      </c>
      <c r="T272" s="4" t="s">
        <v>2228</v>
      </c>
      <c r="U272" s="4" t="s">
        <v>2229</v>
      </c>
      <c r="V272" s="4" t="s">
        <v>25</v>
      </c>
      <c r="W272" s="4" t="s">
        <v>2278</v>
      </c>
      <c r="X272" s="4" t="s">
        <v>2224</v>
      </c>
      <c r="Y272" s="4" t="s">
        <v>2380</v>
      </c>
      <c r="Z272" s="6">
        <v>10710.16</v>
      </c>
      <c r="AA272" s="6">
        <v>128521.92</v>
      </c>
      <c r="AB272" s="4" t="s">
        <v>2232</v>
      </c>
      <c r="AC272" s="7" t="s">
        <v>2224</v>
      </c>
    </row>
    <row r="273" spans="1:29" ht="15" customHeight="1" collapsed="1" thickBot="1" x14ac:dyDescent="0.3">
      <c r="A273" s="20" t="str">
        <f>CONCATENATE("232"," - ","MR", " ","Gideon"," ", "Joubert")</f>
        <v>232 - MR Gideon Joubert</v>
      </c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2"/>
    </row>
    <row r="274" spans="1:29" ht="15" hidden="1" customHeight="1" outlineLevel="1" thickBot="1" x14ac:dyDescent="0.3">
      <c r="A274" s="4" t="s">
        <v>2676</v>
      </c>
      <c r="B274" s="4" t="s">
        <v>318</v>
      </c>
      <c r="C274" s="4" t="s">
        <v>2220</v>
      </c>
      <c r="D274" s="5">
        <v>42963.285416666666</v>
      </c>
      <c r="E274" s="4" t="s">
        <v>2221</v>
      </c>
      <c r="F274" s="4" t="s">
        <v>2222</v>
      </c>
      <c r="G274" s="4" t="s">
        <v>2014</v>
      </c>
      <c r="H274" s="4" t="s">
        <v>1379</v>
      </c>
      <c r="I274" s="4" t="s">
        <v>1229</v>
      </c>
      <c r="J274" s="4" t="s">
        <v>1378</v>
      </c>
      <c r="K274" s="5">
        <v>31313</v>
      </c>
      <c r="L274" s="4" t="s">
        <v>2677</v>
      </c>
      <c r="M274" s="4" t="s">
        <v>9</v>
      </c>
      <c r="N274" s="5">
        <v>41183</v>
      </c>
      <c r="O274" s="5" t="s">
        <v>2224</v>
      </c>
      <c r="P274" s="4" t="s">
        <v>2224</v>
      </c>
      <c r="Q274" s="4" t="s">
        <v>2678</v>
      </c>
      <c r="R274" s="4" t="s">
        <v>2226</v>
      </c>
      <c r="S274" s="4" t="s">
        <v>2227</v>
      </c>
      <c r="T274" s="4" t="s">
        <v>2228</v>
      </c>
      <c r="U274" s="4" t="s">
        <v>2258</v>
      </c>
      <c r="V274" s="4" t="s">
        <v>246</v>
      </c>
      <c r="W274" s="4" t="s">
        <v>2249</v>
      </c>
      <c r="X274" s="4" t="s">
        <v>2224</v>
      </c>
      <c r="Y274" s="4" t="s">
        <v>2259</v>
      </c>
      <c r="Z274" s="6">
        <v>72215.690400000007</v>
      </c>
      <c r="AA274" s="6">
        <v>866588.28</v>
      </c>
      <c r="AB274" s="4" t="s">
        <v>2232</v>
      </c>
      <c r="AC274" s="7" t="s">
        <v>2224</v>
      </c>
    </row>
    <row r="275" spans="1:29" ht="15" customHeight="1" collapsed="1" thickBot="1" x14ac:dyDescent="0.3">
      <c r="A275" s="20" t="str">
        <f>CONCATENATE("233"," - ","MR", " ","Lindinkosi"," ", "JOYISA")</f>
        <v>233 - MR Lindinkosi JOYISA</v>
      </c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2"/>
    </row>
    <row r="276" spans="1:29" ht="15" hidden="1" customHeight="1" outlineLevel="1" thickBot="1" x14ac:dyDescent="0.3">
      <c r="A276" s="4" t="s">
        <v>2679</v>
      </c>
      <c r="B276" s="4" t="s">
        <v>158</v>
      </c>
      <c r="C276" s="4" t="s">
        <v>2220</v>
      </c>
      <c r="D276" s="5">
        <v>42951.397916666661</v>
      </c>
      <c r="E276" s="4" t="s">
        <v>2221</v>
      </c>
      <c r="F276" s="4" t="s">
        <v>2222</v>
      </c>
      <c r="G276" s="4" t="s">
        <v>2014</v>
      </c>
      <c r="H276" s="4" t="s">
        <v>937</v>
      </c>
      <c r="I276" s="4" t="s">
        <v>1071</v>
      </c>
      <c r="J276" s="4" t="s">
        <v>2680</v>
      </c>
      <c r="K276" s="5">
        <v>27839</v>
      </c>
      <c r="L276" s="4" t="s">
        <v>2681</v>
      </c>
      <c r="M276" s="4" t="s">
        <v>9</v>
      </c>
      <c r="N276" s="5">
        <v>39387</v>
      </c>
      <c r="O276" s="5" t="s">
        <v>2224</v>
      </c>
      <c r="P276" s="4" t="s">
        <v>2224</v>
      </c>
      <c r="Q276" s="4" t="s">
        <v>2682</v>
      </c>
      <c r="R276" s="4" t="s">
        <v>2226</v>
      </c>
      <c r="S276" s="4" t="s">
        <v>2227</v>
      </c>
      <c r="T276" s="4" t="s">
        <v>2228</v>
      </c>
      <c r="U276" s="4" t="s">
        <v>2248</v>
      </c>
      <c r="V276" s="4" t="s">
        <v>118</v>
      </c>
      <c r="W276" s="4" t="s">
        <v>2249</v>
      </c>
      <c r="X276" s="4" t="s">
        <v>2224</v>
      </c>
      <c r="Y276" s="4" t="s">
        <v>2597</v>
      </c>
      <c r="Z276" s="6">
        <v>17112.251499999998</v>
      </c>
      <c r="AA276" s="6">
        <v>205347.02</v>
      </c>
      <c r="AB276" s="4" t="s">
        <v>2232</v>
      </c>
      <c r="AC276" s="7" t="s">
        <v>2224</v>
      </c>
    </row>
    <row r="277" spans="1:29" ht="15" customHeight="1" collapsed="1" thickBot="1" x14ac:dyDescent="0.3">
      <c r="A277" s="20" t="str">
        <f>CONCATENATE("234"," - ","MR", " ","Whezile"," ", "Joyisi")</f>
        <v>234 - MR Whezile Joyisi</v>
      </c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2"/>
    </row>
    <row r="278" spans="1:29" ht="15" hidden="1" customHeight="1" outlineLevel="1" thickBot="1" x14ac:dyDescent="0.3">
      <c r="A278" s="4" t="s">
        <v>2683</v>
      </c>
      <c r="B278" s="4" t="s">
        <v>485</v>
      </c>
      <c r="C278" s="4" t="s">
        <v>2220</v>
      </c>
      <c r="D278" s="5">
        <v>42962.461805555555</v>
      </c>
      <c r="E278" s="4" t="s">
        <v>2221</v>
      </c>
      <c r="F278" s="4" t="s">
        <v>2222</v>
      </c>
      <c r="G278" s="4" t="s">
        <v>2014</v>
      </c>
      <c r="H278" s="4" t="s">
        <v>745</v>
      </c>
      <c r="I278" s="4" t="s">
        <v>1704</v>
      </c>
      <c r="J278" s="4" t="s">
        <v>1703</v>
      </c>
      <c r="K278" s="5">
        <v>33232</v>
      </c>
      <c r="L278" s="4" t="s">
        <v>2684</v>
      </c>
      <c r="M278" s="4" t="s">
        <v>9</v>
      </c>
      <c r="N278" s="5">
        <v>41925</v>
      </c>
      <c r="O278" s="5" t="s">
        <v>2224</v>
      </c>
      <c r="P278" s="4" t="s">
        <v>2224</v>
      </c>
      <c r="Q278" s="4" t="s">
        <v>2685</v>
      </c>
      <c r="R278" s="4" t="s">
        <v>2226</v>
      </c>
      <c r="S278" s="4" t="s">
        <v>2227</v>
      </c>
      <c r="T278" s="4" t="s">
        <v>2228</v>
      </c>
      <c r="U278" s="4" t="s">
        <v>2229</v>
      </c>
      <c r="V278" s="4" t="s">
        <v>25</v>
      </c>
      <c r="W278" s="4" t="s">
        <v>2278</v>
      </c>
      <c r="X278" s="4" t="s">
        <v>2224</v>
      </c>
      <c r="Y278" s="4" t="s">
        <v>2384</v>
      </c>
      <c r="Z278" s="6">
        <v>10844.03</v>
      </c>
      <c r="AA278" s="6">
        <v>130128.36</v>
      </c>
      <c r="AB278" s="4" t="s">
        <v>2232</v>
      </c>
      <c r="AC278" s="7" t="s">
        <v>2224</v>
      </c>
    </row>
    <row r="279" spans="1:29" ht="15" customHeight="1" collapsed="1" thickBot="1" x14ac:dyDescent="0.3">
      <c r="A279" s="20" t="str">
        <f>CONCATENATE("235"," - ","MISS", " ","Christelle"," ", "Julius")</f>
        <v>235 - MISS Christelle Julius</v>
      </c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2"/>
    </row>
    <row r="280" spans="1:29" ht="15" hidden="1" customHeight="1" outlineLevel="1" thickBot="1" x14ac:dyDescent="0.3">
      <c r="A280" s="4" t="s">
        <v>2686</v>
      </c>
      <c r="B280" s="4" t="s">
        <v>159</v>
      </c>
      <c r="C280" s="4" t="s">
        <v>2220</v>
      </c>
      <c r="D280" s="5">
        <v>42962.461805555555</v>
      </c>
      <c r="E280" s="4" t="s">
        <v>2221</v>
      </c>
      <c r="F280" s="4" t="s">
        <v>2222</v>
      </c>
      <c r="G280" s="4" t="s">
        <v>2234</v>
      </c>
      <c r="H280" s="4" t="s">
        <v>743</v>
      </c>
      <c r="I280" s="4" t="s">
        <v>1073</v>
      </c>
      <c r="J280" s="4" t="s">
        <v>1072</v>
      </c>
      <c r="K280" s="5">
        <v>31370</v>
      </c>
      <c r="L280" s="4" t="s">
        <v>2687</v>
      </c>
      <c r="M280" s="4" t="s">
        <v>9</v>
      </c>
      <c r="N280" s="5">
        <v>39387</v>
      </c>
      <c r="O280" s="5" t="s">
        <v>2224</v>
      </c>
      <c r="P280" s="4" t="s">
        <v>2224</v>
      </c>
      <c r="Q280" s="4" t="s">
        <v>2688</v>
      </c>
      <c r="R280" s="4" t="s">
        <v>2226</v>
      </c>
      <c r="S280" s="4" t="s">
        <v>2227</v>
      </c>
      <c r="T280" s="4" t="s">
        <v>2228</v>
      </c>
      <c r="U280" s="4" t="s">
        <v>2229</v>
      </c>
      <c r="V280" s="4" t="s">
        <v>25</v>
      </c>
      <c r="W280" s="4" t="s">
        <v>2278</v>
      </c>
      <c r="X280" s="4" t="s">
        <v>2224</v>
      </c>
      <c r="Y280" s="4" t="s">
        <v>2689</v>
      </c>
      <c r="Z280" s="6">
        <v>17112.251499999998</v>
      </c>
      <c r="AA280" s="6">
        <v>205347.02</v>
      </c>
      <c r="AB280" s="4" t="s">
        <v>2232</v>
      </c>
      <c r="AC280" s="7" t="s">
        <v>2224</v>
      </c>
    </row>
    <row r="281" spans="1:29" ht="15" customHeight="1" collapsed="1" thickBot="1" x14ac:dyDescent="0.3">
      <c r="A281" s="20" t="str">
        <f>CONCATENATE("236"," - ","", " ","Justine"," ", "Jordaan")</f>
        <v>236 -  Justine Jordaan</v>
      </c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2"/>
    </row>
    <row r="282" spans="1:29" ht="15" hidden="1" customHeight="1" outlineLevel="1" thickBot="1" x14ac:dyDescent="0.3">
      <c r="A282" s="4" t="s">
        <v>2690</v>
      </c>
      <c r="B282" s="4" t="s">
        <v>445</v>
      </c>
      <c r="C282" s="4" t="s">
        <v>2220</v>
      </c>
      <c r="D282" s="5">
        <v>42962.462500000001</v>
      </c>
      <c r="E282" s="4" t="s">
        <v>2221</v>
      </c>
      <c r="F282" s="4" t="s">
        <v>2222</v>
      </c>
      <c r="G282" s="4" t="s">
        <v>2224</v>
      </c>
      <c r="H282" s="4" t="s">
        <v>888</v>
      </c>
      <c r="I282" s="4" t="s">
        <v>1625</v>
      </c>
      <c r="J282" s="4" t="s">
        <v>1624</v>
      </c>
      <c r="K282" s="5">
        <v>31035</v>
      </c>
      <c r="L282" s="4" t="s">
        <v>2691</v>
      </c>
      <c r="M282" s="4" t="s">
        <v>9</v>
      </c>
      <c r="N282" s="5">
        <v>41666</v>
      </c>
      <c r="O282" s="5" t="s">
        <v>2224</v>
      </c>
      <c r="P282" s="4" t="s">
        <v>2224</v>
      </c>
      <c r="Q282" s="4" t="s">
        <v>2692</v>
      </c>
      <c r="R282" s="4" t="s">
        <v>2226</v>
      </c>
      <c r="S282" s="4" t="s">
        <v>2227</v>
      </c>
      <c r="T282" s="4" t="s">
        <v>2228</v>
      </c>
      <c r="U282" s="4" t="s">
        <v>2248</v>
      </c>
      <c r="V282" s="4" t="s">
        <v>446</v>
      </c>
      <c r="W282" s="4" t="s">
        <v>2249</v>
      </c>
      <c r="X282" s="4" t="s">
        <v>2224</v>
      </c>
      <c r="Y282" s="4" t="s">
        <v>2693</v>
      </c>
      <c r="Z282" s="6">
        <v>47646</v>
      </c>
      <c r="AA282" s="6">
        <v>571752</v>
      </c>
      <c r="AB282" s="4" t="s">
        <v>2232</v>
      </c>
      <c r="AC282" s="7" t="s">
        <v>2224</v>
      </c>
    </row>
    <row r="283" spans="1:29" ht="15" customHeight="1" collapsed="1" thickBot="1" x14ac:dyDescent="0.3">
      <c r="A283" s="20" t="str">
        <f>CONCATENATE("237"," - ","MRS", " ","Batseba"," ", "Kabi")</f>
        <v>237 - MRS Batseba Kabi</v>
      </c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2"/>
    </row>
    <row r="284" spans="1:29" ht="15" hidden="1" customHeight="1" outlineLevel="1" thickBot="1" x14ac:dyDescent="0.3">
      <c r="A284" s="4" t="s">
        <v>2694</v>
      </c>
      <c r="B284" s="4" t="s">
        <v>14</v>
      </c>
      <c r="C284" s="4" t="s">
        <v>2220</v>
      </c>
      <c r="D284" s="5">
        <v>42957.322916666664</v>
      </c>
      <c r="E284" s="4" t="s">
        <v>2221</v>
      </c>
      <c r="F284" s="4" t="s">
        <v>2222</v>
      </c>
      <c r="G284" s="4" t="s">
        <v>2280</v>
      </c>
      <c r="H284" s="4" t="s">
        <v>791</v>
      </c>
      <c r="I284" s="4" t="s">
        <v>792</v>
      </c>
      <c r="J284" s="4" t="s">
        <v>790</v>
      </c>
      <c r="K284" s="5">
        <v>28594</v>
      </c>
      <c r="L284" s="4" t="s">
        <v>2695</v>
      </c>
      <c r="M284" s="4" t="s">
        <v>9</v>
      </c>
      <c r="N284" s="5">
        <v>38971</v>
      </c>
      <c r="O284" s="5" t="s">
        <v>2224</v>
      </c>
      <c r="P284" s="4" t="s">
        <v>2224</v>
      </c>
      <c r="Q284" s="4" t="s">
        <v>2696</v>
      </c>
      <c r="R284" s="4" t="s">
        <v>2226</v>
      </c>
      <c r="S284" s="4" t="s">
        <v>2227</v>
      </c>
      <c r="T284" s="4" t="s">
        <v>2228</v>
      </c>
      <c r="U284" s="4" t="s">
        <v>2248</v>
      </c>
      <c r="V284" s="4" t="s">
        <v>598</v>
      </c>
      <c r="W284" s="4" t="s">
        <v>2230</v>
      </c>
      <c r="X284" s="4" t="s">
        <v>2224</v>
      </c>
      <c r="Y284" s="4" t="s">
        <v>2283</v>
      </c>
      <c r="Z284" s="6">
        <v>45000</v>
      </c>
      <c r="AA284" s="6">
        <v>540000</v>
      </c>
      <c r="AB284" s="4" t="s">
        <v>2232</v>
      </c>
      <c r="AC284" s="7" t="s">
        <v>2224</v>
      </c>
    </row>
    <row r="285" spans="1:29" ht="15" customHeight="1" collapsed="1" thickBot="1" x14ac:dyDescent="0.3">
      <c r="A285" s="20" t="str">
        <f>CONCATENATE("238"," - ","MS", " ","Azande"," ", "Kalipa")</f>
        <v>238 - MS Azande Kalipa</v>
      </c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2"/>
    </row>
    <row r="286" spans="1:29" ht="15" hidden="1" customHeight="1" outlineLevel="1" thickBot="1" x14ac:dyDescent="0.3">
      <c r="A286" s="4" t="s">
        <v>2697</v>
      </c>
      <c r="B286" s="4" t="s">
        <v>679</v>
      </c>
      <c r="C286" s="4" t="s">
        <v>2220</v>
      </c>
      <c r="D286" s="5">
        <v>42963.299305555556</v>
      </c>
      <c r="E286" s="4" t="s">
        <v>2221</v>
      </c>
      <c r="F286" s="4" t="s">
        <v>2222</v>
      </c>
      <c r="G286" s="4" t="s">
        <v>813</v>
      </c>
      <c r="H286" s="4" t="s">
        <v>1287</v>
      </c>
      <c r="I286" s="4" t="s">
        <v>2030</v>
      </c>
      <c r="J286" s="4" t="s">
        <v>2029</v>
      </c>
      <c r="K286" s="5">
        <v>34059</v>
      </c>
      <c r="L286" s="4" t="s">
        <v>2698</v>
      </c>
      <c r="M286" s="4" t="s">
        <v>9</v>
      </c>
      <c r="N286" s="5">
        <v>42493</v>
      </c>
      <c r="O286" s="5" t="s">
        <v>2224</v>
      </c>
      <c r="P286" s="4" t="s">
        <v>2224</v>
      </c>
      <c r="Q286" s="4" t="s">
        <v>2699</v>
      </c>
      <c r="R286" s="4" t="s">
        <v>2226</v>
      </c>
      <c r="S286" s="4" t="s">
        <v>2227</v>
      </c>
      <c r="T286" s="4" t="s">
        <v>2228</v>
      </c>
      <c r="U286" s="4" t="s">
        <v>2700</v>
      </c>
      <c r="V286" s="4" t="s">
        <v>8</v>
      </c>
      <c r="W286" s="4" t="s">
        <v>2278</v>
      </c>
      <c r="X286" s="4" t="s">
        <v>2224</v>
      </c>
      <c r="Y286" s="4" t="s">
        <v>2239</v>
      </c>
      <c r="Z286" s="6">
        <v>15883.16</v>
      </c>
      <c r="AA286" s="6">
        <v>190597.92</v>
      </c>
      <c r="AB286" s="4" t="s">
        <v>2224</v>
      </c>
      <c r="AC286" s="7" t="s">
        <v>2224</v>
      </c>
    </row>
    <row r="287" spans="1:29" ht="15" customHeight="1" collapsed="1" thickBot="1" x14ac:dyDescent="0.3">
      <c r="A287" s="20" t="str">
        <f>CONCATENATE("239"," - ","MISS", " ","Shakira"," ", "Kamalie")</f>
        <v>239 - MISS Shakira Kamalie</v>
      </c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2"/>
    </row>
    <row r="288" spans="1:29" ht="15" hidden="1" customHeight="1" outlineLevel="1" thickBot="1" x14ac:dyDescent="0.3">
      <c r="A288" s="4" t="s">
        <v>2701</v>
      </c>
      <c r="B288" s="4" t="s">
        <v>24</v>
      </c>
      <c r="C288" s="4" t="s">
        <v>2220</v>
      </c>
      <c r="D288" s="5">
        <v>42962.461805555555</v>
      </c>
      <c r="E288" s="4" t="s">
        <v>2221</v>
      </c>
      <c r="F288" s="4" t="s">
        <v>2222</v>
      </c>
      <c r="G288" s="4" t="s">
        <v>2234</v>
      </c>
      <c r="H288" s="4" t="s">
        <v>800</v>
      </c>
      <c r="I288" s="4" t="s">
        <v>808</v>
      </c>
      <c r="J288" s="4" t="s">
        <v>807</v>
      </c>
      <c r="K288" s="5">
        <v>30202</v>
      </c>
      <c r="L288" s="4" t="s">
        <v>2702</v>
      </c>
      <c r="M288" s="4" t="s">
        <v>9</v>
      </c>
      <c r="N288" s="5">
        <v>38978</v>
      </c>
      <c r="O288" s="5" t="s">
        <v>2224</v>
      </c>
      <c r="P288" s="4" t="s">
        <v>2224</v>
      </c>
      <c r="Q288" s="4" t="s">
        <v>2703</v>
      </c>
      <c r="R288" s="4" t="s">
        <v>2226</v>
      </c>
      <c r="S288" s="4" t="s">
        <v>2227</v>
      </c>
      <c r="T288" s="4" t="s">
        <v>2228</v>
      </c>
      <c r="U288" s="4" t="s">
        <v>2229</v>
      </c>
      <c r="V288" s="4" t="s">
        <v>25</v>
      </c>
      <c r="W288" s="4" t="s">
        <v>2608</v>
      </c>
      <c r="X288" s="4" t="s">
        <v>2224</v>
      </c>
      <c r="Y288" s="4" t="s">
        <v>2231</v>
      </c>
      <c r="Z288" s="6">
        <v>17112.2621</v>
      </c>
      <c r="AA288" s="6">
        <v>205347.15</v>
      </c>
      <c r="AB288" s="4" t="s">
        <v>2232</v>
      </c>
      <c r="AC288" s="7" t="s">
        <v>2224</v>
      </c>
    </row>
    <row r="289" spans="1:29" ht="15" customHeight="1" collapsed="1" thickBot="1" x14ac:dyDescent="0.3">
      <c r="A289" s="20" t="str">
        <f>CONCATENATE("24"," - ","MR", " ","Naeem"," ", "Abed")</f>
        <v>24 - MR Naeem Abed</v>
      </c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2"/>
    </row>
    <row r="290" spans="1:29" ht="15" hidden="1" customHeight="1" outlineLevel="1" thickBot="1" x14ac:dyDescent="0.3">
      <c r="A290" s="4" t="s">
        <v>2704</v>
      </c>
      <c r="B290" s="4" t="s">
        <v>494</v>
      </c>
      <c r="C290" s="4" t="s">
        <v>2220</v>
      </c>
      <c r="D290" s="5">
        <v>42962.549999999996</v>
      </c>
      <c r="E290" s="4" t="s">
        <v>2221</v>
      </c>
      <c r="F290" s="4" t="s">
        <v>2222</v>
      </c>
      <c r="G290" s="4" t="s">
        <v>2014</v>
      </c>
      <c r="H290" s="4" t="s">
        <v>797</v>
      </c>
      <c r="I290" s="4" t="s">
        <v>1721</v>
      </c>
      <c r="J290" s="4" t="s">
        <v>1720</v>
      </c>
      <c r="K290" s="5">
        <v>33639</v>
      </c>
      <c r="L290" s="4" t="s">
        <v>2705</v>
      </c>
      <c r="M290" s="4" t="s">
        <v>9</v>
      </c>
      <c r="N290" s="5">
        <v>41944</v>
      </c>
      <c r="O290" s="5" t="s">
        <v>2224</v>
      </c>
      <c r="P290" s="4" t="s">
        <v>2224</v>
      </c>
      <c r="Q290" s="4" t="s">
        <v>2706</v>
      </c>
      <c r="R290" s="4" t="s">
        <v>2226</v>
      </c>
      <c r="S290" s="4" t="s">
        <v>2227</v>
      </c>
      <c r="T290" s="4" t="s">
        <v>2228</v>
      </c>
      <c r="U290" s="4" t="s">
        <v>2237</v>
      </c>
      <c r="V290" s="4" t="s">
        <v>8</v>
      </c>
      <c r="W290" s="4" t="s">
        <v>2278</v>
      </c>
      <c r="X290" s="4" t="s">
        <v>2224</v>
      </c>
      <c r="Y290" s="4" t="s">
        <v>2239</v>
      </c>
      <c r="Z290" s="6">
        <v>16282.77</v>
      </c>
      <c r="AA290" s="6">
        <v>195393.24</v>
      </c>
      <c r="AB290" s="4" t="s">
        <v>2232</v>
      </c>
      <c r="AC290" s="7" t="s">
        <v>2224</v>
      </c>
    </row>
    <row r="291" spans="1:29" ht="15" customHeight="1" collapsed="1" thickBot="1" x14ac:dyDescent="0.3">
      <c r="A291" s="20" t="str">
        <f>CONCATENATE("240"," - ","MISS", " ","Khayakazi"," ", "Kani")</f>
        <v>240 - MISS Khayakazi Kani</v>
      </c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2"/>
    </row>
    <row r="292" spans="1:29" ht="15" hidden="1" customHeight="1" outlineLevel="1" thickBot="1" x14ac:dyDescent="0.3">
      <c r="A292" s="4" t="s">
        <v>2707</v>
      </c>
      <c r="B292" s="4" t="s">
        <v>375</v>
      </c>
      <c r="C292" s="4" t="s">
        <v>2220</v>
      </c>
      <c r="D292" s="5">
        <v>42962.549999999996</v>
      </c>
      <c r="E292" s="4" t="s">
        <v>2221</v>
      </c>
      <c r="F292" s="4" t="s">
        <v>2222</v>
      </c>
      <c r="G292" s="4" t="s">
        <v>2234</v>
      </c>
      <c r="H292" s="4" t="s">
        <v>1002</v>
      </c>
      <c r="I292" s="4" t="s">
        <v>1481</v>
      </c>
      <c r="J292" s="4" t="s">
        <v>1480</v>
      </c>
      <c r="K292" s="5">
        <v>33848</v>
      </c>
      <c r="L292" s="4" t="s">
        <v>2708</v>
      </c>
      <c r="M292" s="4" t="s">
        <v>9</v>
      </c>
      <c r="N292" s="5">
        <v>41431</v>
      </c>
      <c r="O292" s="5">
        <v>42964</v>
      </c>
      <c r="P292" s="4" t="s">
        <v>2441</v>
      </c>
      <c r="Q292" s="4" t="s">
        <v>2709</v>
      </c>
      <c r="R292" s="4" t="s">
        <v>2226</v>
      </c>
      <c r="S292" s="4" t="s">
        <v>2227</v>
      </c>
      <c r="T292" s="4" t="s">
        <v>2228</v>
      </c>
      <c r="U292" s="4" t="s">
        <v>2237</v>
      </c>
      <c r="V292" s="4" t="s">
        <v>125</v>
      </c>
      <c r="W292" s="4" t="s">
        <v>2230</v>
      </c>
      <c r="X292" s="4" t="s">
        <v>2224</v>
      </c>
      <c r="Y292" s="4" t="s">
        <v>2224</v>
      </c>
      <c r="Z292" s="6">
        <v>11433.28</v>
      </c>
      <c r="AA292" s="6">
        <v>137199.35999999999</v>
      </c>
      <c r="AB292" s="4" t="s">
        <v>2232</v>
      </c>
      <c r="AC292" s="7" t="s">
        <v>2224</v>
      </c>
    </row>
    <row r="293" spans="1:29" ht="15" customHeight="1" collapsed="1" thickBot="1" x14ac:dyDescent="0.3">
      <c r="A293" s="20" t="str">
        <f>CONCATENATE("241"," - ","MISS", " ","Willow"," ", "Karsten")</f>
        <v>241 - MISS Willow Karsten</v>
      </c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2"/>
    </row>
    <row r="294" spans="1:29" ht="15" hidden="1" customHeight="1" outlineLevel="1" thickBot="1" x14ac:dyDescent="0.3">
      <c r="A294" s="4" t="s">
        <v>2710</v>
      </c>
      <c r="B294" s="4" t="s">
        <v>376</v>
      </c>
      <c r="C294" s="4" t="s">
        <v>2220</v>
      </c>
      <c r="D294" s="5">
        <v>42962.549999999996</v>
      </c>
      <c r="E294" s="4" t="s">
        <v>2221</v>
      </c>
      <c r="F294" s="4" t="s">
        <v>2222</v>
      </c>
      <c r="G294" s="4" t="s">
        <v>2234</v>
      </c>
      <c r="H294" s="4" t="s">
        <v>1483</v>
      </c>
      <c r="I294" s="4" t="s">
        <v>1484</v>
      </c>
      <c r="J294" s="4" t="s">
        <v>1482</v>
      </c>
      <c r="K294" s="5">
        <v>31375</v>
      </c>
      <c r="L294" s="4" t="s">
        <v>2711</v>
      </c>
      <c r="M294" s="4" t="s">
        <v>9</v>
      </c>
      <c r="N294" s="5">
        <v>41431</v>
      </c>
      <c r="O294" s="5" t="s">
        <v>2224</v>
      </c>
      <c r="P294" s="4" t="s">
        <v>2224</v>
      </c>
      <c r="Q294" s="4" t="s">
        <v>2712</v>
      </c>
      <c r="R294" s="4" t="s">
        <v>2226</v>
      </c>
      <c r="S294" s="4" t="s">
        <v>2227</v>
      </c>
      <c r="T294" s="4" t="s">
        <v>2228</v>
      </c>
      <c r="U294" s="4" t="s">
        <v>2237</v>
      </c>
      <c r="V294" s="4" t="s">
        <v>70</v>
      </c>
      <c r="W294" s="4" t="s">
        <v>2230</v>
      </c>
      <c r="X294" s="4" t="s">
        <v>2224</v>
      </c>
      <c r="Y294" s="4" t="s">
        <v>2239</v>
      </c>
      <c r="Z294" s="6">
        <v>20392</v>
      </c>
      <c r="AA294" s="6">
        <v>244704</v>
      </c>
      <c r="AB294" s="4" t="s">
        <v>2232</v>
      </c>
      <c r="AC294" s="7" t="s">
        <v>2224</v>
      </c>
    </row>
    <row r="295" spans="1:29" ht="15" customHeight="1" collapsed="1" thickBot="1" x14ac:dyDescent="0.3">
      <c r="A295" s="20" t="str">
        <f>CONCATENATE("243"," - ","MISS", " ","Siyabulela"," ", "Katiya")</f>
        <v>243 - MISS Siyabulela Katiya</v>
      </c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2"/>
    </row>
    <row r="296" spans="1:29" ht="15" hidden="1" customHeight="1" outlineLevel="1" thickBot="1" x14ac:dyDescent="0.3">
      <c r="A296" s="4" t="s">
        <v>2713</v>
      </c>
      <c r="B296" s="4" t="s">
        <v>324</v>
      </c>
      <c r="C296" s="4" t="s">
        <v>2220</v>
      </c>
      <c r="D296" s="5">
        <v>42962.461805555555</v>
      </c>
      <c r="E296" s="4" t="s">
        <v>2221</v>
      </c>
      <c r="F296" s="4" t="s">
        <v>2222</v>
      </c>
      <c r="G296" s="4" t="s">
        <v>2234</v>
      </c>
      <c r="H296" s="4" t="s">
        <v>800</v>
      </c>
      <c r="I296" s="4" t="s">
        <v>1390</v>
      </c>
      <c r="J296" s="4" t="s">
        <v>1389</v>
      </c>
      <c r="K296" s="5">
        <v>33205</v>
      </c>
      <c r="L296" s="4" t="s">
        <v>2714</v>
      </c>
      <c r="M296" s="4" t="s">
        <v>9</v>
      </c>
      <c r="N296" s="5">
        <v>41239</v>
      </c>
      <c r="O296" s="5" t="s">
        <v>2224</v>
      </c>
      <c r="P296" s="4" t="s">
        <v>2224</v>
      </c>
      <c r="Q296" s="4" t="s">
        <v>2715</v>
      </c>
      <c r="R296" s="4" t="s">
        <v>2226</v>
      </c>
      <c r="S296" s="4" t="s">
        <v>2227</v>
      </c>
      <c r="T296" s="4" t="s">
        <v>2228</v>
      </c>
      <c r="U296" s="4" t="s">
        <v>2229</v>
      </c>
      <c r="V296" s="4" t="s">
        <v>25</v>
      </c>
      <c r="W296" s="4" t="s">
        <v>2278</v>
      </c>
      <c r="X296" s="4" t="s">
        <v>2224</v>
      </c>
      <c r="Y296" s="4" t="s">
        <v>2469</v>
      </c>
      <c r="Z296" s="6">
        <v>16692.34</v>
      </c>
      <c r="AA296" s="6">
        <v>200308.08</v>
      </c>
      <c r="AB296" s="4" t="s">
        <v>2232</v>
      </c>
      <c r="AC296" s="7" t="s">
        <v>2224</v>
      </c>
    </row>
    <row r="297" spans="1:29" ht="15" customHeight="1" collapsed="1" thickBot="1" x14ac:dyDescent="0.3">
      <c r="A297" s="20" t="str">
        <f>CONCATENATE("244"," - ","MISS", " ","Aurellia"," ", "Kekana")</f>
        <v>244 - MISS Aurellia Kekana</v>
      </c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2"/>
    </row>
    <row r="298" spans="1:29" ht="15" hidden="1" customHeight="1" outlineLevel="1" thickBot="1" x14ac:dyDescent="0.3">
      <c r="A298" s="4" t="s">
        <v>2716</v>
      </c>
      <c r="B298" s="4" t="s">
        <v>160</v>
      </c>
      <c r="C298" s="4" t="s">
        <v>2220</v>
      </c>
      <c r="D298" s="5">
        <v>42962.463194444441</v>
      </c>
      <c r="E298" s="4" t="s">
        <v>2221</v>
      </c>
      <c r="F298" s="4" t="s">
        <v>2222</v>
      </c>
      <c r="G298" s="4" t="s">
        <v>2234</v>
      </c>
      <c r="H298" s="4" t="s">
        <v>1075</v>
      </c>
      <c r="I298" s="4" t="s">
        <v>1076</v>
      </c>
      <c r="J298" s="4" t="s">
        <v>1074</v>
      </c>
      <c r="K298" s="5">
        <v>31541</v>
      </c>
      <c r="L298" s="4" t="s">
        <v>2717</v>
      </c>
      <c r="M298" s="4" t="s">
        <v>9</v>
      </c>
      <c r="N298" s="5">
        <v>39387</v>
      </c>
      <c r="O298" s="5" t="s">
        <v>2224</v>
      </c>
      <c r="P298" s="4" t="s">
        <v>2224</v>
      </c>
      <c r="Q298" s="4" t="s">
        <v>2718</v>
      </c>
      <c r="R298" s="4" t="s">
        <v>2226</v>
      </c>
      <c r="S298" s="4" t="s">
        <v>2227</v>
      </c>
      <c r="T298" s="4" t="s">
        <v>2228</v>
      </c>
      <c r="U298" s="4" t="s">
        <v>2248</v>
      </c>
      <c r="V298" s="4" t="s">
        <v>15</v>
      </c>
      <c r="W298" s="4" t="s">
        <v>2230</v>
      </c>
      <c r="X298" s="4" t="s">
        <v>2224</v>
      </c>
      <c r="Y298" s="4" t="s">
        <v>2283</v>
      </c>
      <c r="Z298" s="6">
        <v>21430.874299999999</v>
      </c>
      <c r="AA298" s="6">
        <v>257170.49</v>
      </c>
      <c r="AB298" s="4" t="s">
        <v>2232</v>
      </c>
      <c r="AC298" s="7" t="s">
        <v>2224</v>
      </c>
    </row>
    <row r="299" spans="1:29" ht="15" customHeight="1" collapsed="1" thickBot="1" x14ac:dyDescent="0.3">
      <c r="A299" s="20" t="str">
        <f>CONCATENATE("245"," - ","MR", " ","Ernest"," ", "Kekana")</f>
        <v>245 - MR Ernest Kekana</v>
      </c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2"/>
    </row>
    <row r="300" spans="1:29" ht="15" hidden="1" customHeight="1" outlineLevel="1" thickBot="1" x14ac:dyDescent="0.3">
      <c r="A300" s="4" t="s">
        <v>2719</v>
      </c>
      <c r="B300" s="4" t="s">
        <v>408</v>
      </c>
      <c r="C300" s="4" t="s">
        <v>2220</v>
      </c>
      <c r="D300" s="5">
        <v>42957.395833333328</v>
      </c>
      <c r="E300" s="4" t="s">
        <v>2221</v>
      </c>
      <c r="F300" s="4" t="s">
        <v>2222</v>
      </c>
      <c r="G300" s="4" t="s">
        <v>2014</v>
      </c>
      <c r="H300" s="4" t="s">
        <v>1544</v>
      </c>
      <c r="I300" s="4" t="s">
        <v>1545</v>
      </c>
      <c r="J300" s="4" t="s">
        <v>1074</v>
      </c>
      <c r="K300" s="5">
        <v>28137</v>
      </c>
      <c r="L300" s="4" t="s">
        <v>2720</v>
      </c>
      <c r="M300" s="4" t="s">
        <v>9</v>
      </c>
      <c r="N300" s="5">
        <v>41563</v>
      </c>
      <c r="O300" s="5" t="s">
        <v>2224</v>
      </c>
      <c r="P300" s="4" t="s">
        <v>2224</v>
      </c>
      <c r="Q300" s="4" t="s">
        <v>2721</v>
      </c>
      <c r="R300" s="4" t="s">
        <v>2226</v>
      </c>
      <c r="S300" s="4" t="s">
        <v>2227</v>
      </c>
      <c r="T300" s="4" t="s">
        <v>2228</v>
      </c>
      <c r="U300" s="4" t="s">
        <v>2258</v>
      </c>
      <c r="V300" s="4" t="s">
        <v>257</v>
      </c>
      <c r="W300" s="4" t="s">
        <v>2249</v>
      </c>
      <c r="X300" s="4" t="s">
        <v>2224</v>
      </c>
      <c r="Y300" s="4" t="s">
        <v>2259</v>
      </c>
      <c r="Z300" s="6">
        <v>66716.14</v>
      </c>
      <c r="AA300" s="6">
        <v>800593.68</v>
      </c>
      <c r="AB300" s="4" t="s">
        <v>2232</v>
      </c>
      <c r="AC300" s="7" t="s">
        <v>2224</v>
      </c>
    </row>
    <row r="301" spans="1:29" ht="15" customHeight="1" collapsed="1" thickBot="1" x14ac:dyDescent="0.3">
      <c r="A301" s="20" t="str">
        <f>CONCATENATE("248"," - ","MR", " ","Shaun"," ", "Kenny")</f>
        <v>248 - MR Shaun Kenny</v>
      </c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2"/>
    </row>
    <row r="302" spans="1:29" ht="15" hidden="1" customHeight="1" outlineLevel="1" thickBot="1" x14ac:dyDescent="0.3">
      <c r="A302" s="4" t="s">
        <v>2722</v>
      </c>
      <c r="B302" s="4" t="s">
        <v>264</v>
      </c>
      <c r="C302" s="4" t="s">
        <v>2220</v>
      </c>
      <c r="D302" s="5">
        <v>42963.283333333333</v>
      </c>
      <c r="E302" s="4" t="s">
        <v>2221</v>
      </c>
      <c r="F302" s="4" t="s">
        <v>2222</v>
      </c>
      <c r="G302" s="4" t="s">
        <v>2014</v>
      </c>
      <c r="H302" s="4" t="s">
        <v>883</v>
      </c>
      <c r="I302" s="4" t="s">
        <v>1283</v>
      </c>
      <c r="J302" s="4" t="s">
        <v>1282</v>
      </c>
      <c r="K302" s="5">
        <v>29279</v>
      </c>
      <c r="L302" s="4" t="s">
        <v>2723</v>
      </c>
      <c r="M302" s="4" t="s">
        <v>9</v>
      </c>
      <c r="N302" s="5">
        <v>40637</v>
      </c>
      <c r="O302" s="5" t="s">
        <v>2224</v>
      </c>
      <c r="P302" s="4" t="s">
        <v>2224</v>
      </c>
      <c r="Q302" s="4" t="s">
        <v>2724</v>
      </c>
      <c r="R302" s="4" t="s">
        <v>2226</v>
      </c>
      <c r="S302" s="4" t="s">
        <v>2227</v>
      </c>
      <c r="T302" s="4" t="s">
        <v>2228</v>
      </c>
      <c r="U302" s="4" t="s">
        <v>2258</v>
      </c>
      <c r="V302" s="4" t="s">
        <v>13</v>
      </c>
      <c r="W302" s="4" t="s">
        <v>2249</v>
      </c>
      <c r="X302" s="4" t="s">
        <v>2224</v>
      </c>
      <c r="Y302" s="4" t="s">
        <v>2259</v>
      </c>
      <c r="Z302" s="6">
        <v>111990.9564</v>
      </c>
      <c r="AA302" s="6">
        <v>1343891.48</v>
      </c>
      <c r="AB302" s="4" t="s">
        <v>2232</v>
      </c>
      <c r="AC302" s="7" t="s">
        <v>2224</v>
      </c>
    </row>
    <row r="303" spans="1:29" ht="15" customHeight="1" collapsed="1" thickBot="1" x14ac:dyDescent="0.3">
      <c r="A303" s="20" t="str">
        <f>CONCATENATE("249"," - ","MISS", " ","Patricia"," ", "Kgabi")</f>
        <v>249 - MISS Patricia Kgabi</v>
      </c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2"/>
    </row>
    <row r="304" spans="1:29" ht="15" hidden="1" customHeight="1" outlineLevel="1" thickBot="1" x14ac:dyDescent="0.3">
      <c r="A304" s="4" t="s">
        <v>2725</v>
      </c>
      <c r="B304" s="4" t="s">
        <v>42</v>
      </c>
      <c r="C304" s="4" t="s">
        <v>2220</v>
      </c>
      <c r="D304" s="5">
        <v>42961.338194444441</v>
      </c>
      <c r="E304" s="4" t="s">
        <v>2221</v>
      </c>
      <c r="F304" s="4" t="s">
        <v>2222</v>
      </c>
      <c r="G304" s="4" t="s">
        <v>2234</v>
      </c>
      <c r="H304" s="4" t="s">
        <v>781</v>
      </c>
      <c r="I304" s="4" t="s">
        <v>847</v>
      </c>
      <c r="J304" s="4" t="s">
        <v>846</v>
      </c>
      <c r="K304" s="5">
        <v>29448</v>
      </c>
      <c r="L304" s="4" t="s">
        <v>2726</v>
      </c>
      <c r="M304" s="4" t="s">
        <v>9</v>
      </c>
      <c r="N304" s="5">
        <v>38986</v>
      </c>
      <c r="O304" s="5" t="s">
        <v>2224</v>
      </c>
      <c r="P304" s="4" t="s">
        <v>2224</v>
      </c>
      <c r="Q304" s="4" t="s">
        <v>2727</v>
      </c>
      <c r="R304" s="4" t="s">
        <v>2226</v>
      </c>
      <c r="S304" s="4" t="s">
        <v>2227</v>
      </c>
      <c r="T304" s="4" t="s">
        <v>2228</v>
      </c>
      <c r="U304" s="4" t="s">
        <v>2229</v>
      </c>
      <c r="V304" s="4" t="s">
        <v>25</v>
      </c>
      <c r="W304" s="4" t="s">
        <v>2278</v>
      </c>
      <c r="X304" s="4" t="s">
        <v>2224</v>
      </c>
      <c r="Y304" s="4" t="s">
        <v>2384</v>
      </c>
      <c r="Z304" s="6">
        <v>17112.25</v>
      </c>
      <c r="AA304" s="6">
        <v>205347</v>
      </c>
      <c r="AB304" s="4" t="s">
        <v>2232</v>
      </c>
      <c r="AC304" s="7" t="s">
        <v>2224</v>
      </c>
    </row>
    <row r="305" spans="1:29" ht="15" customHeight="1" collapsed="1" thickBot="1" x14ac:dyDescent="0.3">
      <c r="A305" s="20" t="str">
        <f>CONCATENATE("25"," - ","MISS", " ","MELISSA"," ", "Abrahams")</f>
        <v>25 - MISS MELISSA Abrahams</v>
      </c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2"/>
    </row>
    <row r="306" spans="1:29" ht="15" hidden="1" customHeight="1" outlineLevel="1" thickBot="1" x14ac:dyDescent="0.3">
      <c r="A306" s="4" t="s">
        <v>2728</v>
      </c>
      <c r="B306" s="4" t="s">
        <v>145</v>
      </c>
      <c r="C306" s="4" t="s">
        <v>2220</v>
      </c>
      <c r="D306" s="5">
        <v>42962.461111111108</v>
      </c>
      <c r="E306" s="4" t="s">
        <v>2221</v>
      </c>
      <c r="F306" s="4" t="s">
        <v>2222</v>
      </c>
      <c r="G306" s="4" t="s">
        <v>2234</v>
      </c>
      <c r="H306" s="4" t="s">
        <v>788</v>
      </c>
      <c r="I306" s="4" t="s">
        <v>1047</v>
      </c>
      <c r="J306" s="4" t="s">
        <v>1046</v>
      </c>
      <c r="K306" s="5">
        <v>31297</v>
      </c>
      <c r="L306" s="4" t="s">
        <v>2729</v>
      </c>
      <c r="M306" s="4" t="s">
        <v>9</v>
      </c>
      <c r="N306" s="5">
        <v>39387</v>
      </c>
      <c r="O306" s="5" t="s">
        <v>2224</v>
      </c>
      <c r="P306" s="4" t="s">
        <v>2224</v>
      </c>
      <c r="Q306" s="4" t="s">
        <v>2730</v>
      </c>
      <c r="R306" s="4" t="s">
        <v>2226</v>
      </c>
      <c r="S306" s="4" t="s">
        <v>2227</v>
      </c>
      <c r="T306" s="4" t="s">
        <v>2228</v>
      </c>
      <c r="U306" s="4" t="s">
        <v>2229</v>
      </c>
      <c r="V306" s="4" t="s">
        <v>25</v>
      </c>
      <c r="W306" s="4" t="s">
        <v>2278</v>
      </c>
      <c r="X306" s="4" t="s">
        <v>2224</v>
      </c>
      <c r="Y306" s="4" t="s">
        <v>2380</v>
      </c>
      <c r="Z306" s="6">
        <v>17112.251499999998</v>
      </c>
      <c r="AA306" s="6">
        <v>205347.02</v>
      </c>
      <c r="AB306" s="4" t="s">
        <v>2232</v>
      </c>
      <c r="AC306" s="7" t="s">
        <v>2224</v>
      </c>
    </row>
    <row r="307" spans="1:29" ht="15" customHeight="1" collapsed="1" thickBot="1" x14ac:dyDescent="0.3">
      <c r="A307" s="20" t="str">
        <f>CONCATENATE("250"," - ","MR", " ","Frans"," ", "Kgasane")</f>
        <v>250 - MR Frans Kgasane</v>
      </c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2"/>
    </row>
    <row r="308" spans="1:29" ht="15" hidden="1" customHeight="1" outlineLevel="1" thickBot="1" x14ac:dyDescent="0.3">
      <c r="A308" s="4" t="s">
        <v>2731</v>
      </c>
      <c r="B308" s="4" t="s">
        <v>440</v>
      </c>
      <c r="C308" s="4" t="s">
        <v>2220</v>
      </c>
      <c r="D308" s="5">
        <v>42962.461805555555</v>
      </c>
      <c r="E308" s="4" t="s">
        <v>2221</v>
      </c>
      <c r="F308" s="4" t="s">
        <v>2222</v>
      </c>
      <c r="G308" s="4" t="s">
        <v>2014</v>
      </c>
      <c r="H308" s="4" t="s">
        <v>841</v>
      </c>
      <c r="I308" s="4" t="s">
        <v>1613</v>
      </c>
      <c r="J308" s="4" t="s">
        <v>1612</v>
      </c>
      <c r="K308" s="5">
        <v>32731</v>
      </c>
      <c r="L308" s="4" t="s">
        <v>2732</v>
      </c>
      <c r="M308" s="4" t="s">
        <v>9</v>
      </c>
      <c r="N308" s="5">
        <v>41652</v>
      </c>
      <c r="O308" s="5" t="s">
        <v>2224</v>
      </c>
      <c r="P308" s="4" t="s">
        <v>2224</v>
      </c>
      <c r="Q308" s="4" t="s">
        <v>2733</v>
      </c>
      <c r="R308" s="4" t="s">
        <v>2226</v>
      </c>
      <c r="S308" s="4" t="s">
        <v>2227</v>
      </c>
      <c r="T308" s="4" t="s">
        <v>2228</v>
      </c>
      <c r="U308" s="4" t="s">
        <v>2229</v>
      </c>
      <c r="V308" s="4" t="s">
        <v>25</v>
      </c>
      <c r="W308" s="4" t="s">
        <v>2278</v>
      </c>
      <c r="X308" s="4" t="s">
        <v>2224</v>
      </c>
      <c r="Y308" s="4" t="s">
        <v>2469</v>
      </c>
      <c r="Z308" s="6">
        <v>10979.58</v>
      </c>
      <c r="AA308" s="6">
        <v>131754.96</v>
      </c>
      <c r="AB308" s="4" t="s">
        <v>2232</v>
      </c>
      <c r="AC308" s="7" t="s">
        <v>2224</v>
      </c>
    </row>
    <row r="309" spans="1:29" ht="15" customHeight="1" collapsed="1" thickBot="1" x14ac:dyDescent="0.3">
      <c r="A309" s="20" t="str">
        <f>CONCATENATE("251"," - ","MISS", " ","Petronella"," ", "Kgwedi")</f>
        <v>251 - MISS Petronella Kgwedi</v>
      </c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2"/>
    </row>
    <row r="310" spans="1:29" ht="15" hidden="1" customHeight="1" outlineLevel="1" thickBot="1" x14ac:dyDescent="0.3">
      <c r="A310" s="4" t="s">
        <v>2734</v>
      </c>
      <c r="B310" s="4" t="s">
        <v>34</v>
      </c>
      <c r="C310" s="4" t="s">
        <v>2220</v>
      </c>
      <c r="D310" s="5">
        <v>42962.462500000001</v>
      </c>
      <c r="E310" s="4" t="s">
        <v>2221</v>
      </c>
      <c r="F310" s="4" t="s">
        <v>2222</v>
      </c>
      <c r="G310" s="4" t="s">
        <v>2234</v>
      </c>
      <c r="H310" s="4" t="s">
        <v>829</v>
      </c>
      <c r="I310" s="4" t="s">
        <v>830</v>
      </c>
      <c r="J310" s="4" t="s">
        <v>828</v>
      </c>
      <c r="K310" s="5">
        <v>27667</v>
      </c>
      <c r="L310" s="4" t="s">
        <v>2735</v>
      </c>
      <c r="M310" s="4" t="s">
        <v>9</v>
      </c>
      <c r="N310" s="5">
        <v>38985</v>
      </c>
      <c r="O310" s="5" t="s">
        <v>2224</v>
      </c>
      <c r="P310" s="4" t="s">
        <v>2224</v>
      </c>
      <c r="Q310" s="4" t="s">
        <v>2736</v>
      </c>
      <c r="R310" s="4" t="s">
        <v>2226</v>
      </c>
      <c r="S310" s="4" t="s">
        <v>2227</v>
      </c>
      <c r="T310" s="4" t="s">
        <v>2228</v>
      </c>
      <c r="U310" s="4" t="s">
        <v>2248</v>
      </c>
      <c r="V310" s="4" t="s">
        <v>25</v>
      </c>
      <c r="W310" s="4" t="s">
        <v>2608</v>
      </c>
      <c r="X310" s="4" t="s">
        <v>2224</v>
      </c>
      <c r="Y310" s="4" t="s">
        <v>2609</v>
      </c>
      <c r="Z310" s="6">
        <v>17112.2621</v>
      </c>
      <c r="AA310" s="6">
        <v>205347.15</v>
      </c>
      <c r="AB310" s="4" t="s">
        <v>2232</v>
      </c>
      <c r="AC310" s="7" t="s">
        <v>2224</v>
      </c>
    </row>
    <row r="311" spans="1:29" ht="15" customHeight="1" collapsed="1" thickBot="1" x14ac:dyDescent="0.3">
      <c r="A311" s="20" t="str">
        <f>CONCATENATE("252"," - ","MR", " ","Mzwandile"," ", "Khalo")</f>
        <v>252 - MR Mzwandile Khalo</v>
      </c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2"/>
    </row>
    <row r="312" spans="1:29" ht="15" hidden="1" customHeight="1" outlineLevel="1" thickBot="1" x14ac:dyDescent="0.3">
      <c r="A312" s="4" t="s">
        <v>2737</v>
      </c>
      <c r="B312" s="4" t="s">
        <v>491</v>
      </c>
      <c r="C312" s="4" t="s">
        <v>2220</v>
      </c>
      <c r="D312" s="5">
        <v>42962.549999999996</v>
      </c>
      <c r="E312" s="4" t="s">
        <v>2221</v>
      </c>
      <c r="F312" s="4" t="s">
        <v>2222</v>
      </c>
      <c r="G312" s="4" t="s">
        <v>2014</v>
      </c>
      <c r="H312" s="4" t="s">
        <v>788</v>
      </c>
      <c r="I312" s="4" t="s">
        <v>1714</v>
      </c>
      <c r="J312" s="4" t="s">
        <v>1713</v>
      </c>
      <c r="K312" s="5">
        <v>32977</v>
      </c>
      <c r="L312" s="4" t="s">
        <v>2738</v>
      </c>
      <c r="M312" s="4" t="s">
        <v>9</v>
      </c>
      <c r="N312" s="5">
        <v>41928</v>
      </c>
      <c r="O312" s="5" t="s">
        <v>2224</v>
      </c>
      <c r="P312" s="4" t="s">
        <v>2224</v>
      </c>
      <c r="Q312" s="4" t="s">
        <v>2739</v>
      </c>
      <c r="R312" s="4" t="s">
        <v>2226</v>
      </c>
      <c r="S312" s="4" t="s">
        <v>2227</v>
      </c>
      <c r="T312" s="4" t="s">
        <v>2228</v>
      </c>
      <c r="U312" s="4" t="s">
        <v>2237</v>
      </c>
      <c r="V312" s="4" t="s">
        <v>8</v>
      </c>
      <c r="W312" s="4" t="s">
        <v>2278</v>
      </c>
      <c r="X312" s="4" t="s">
        <v>2224</v>
      </c>
      <c r="Y312" s="4" t="s">
        <v>2239</v>
      </c>
      <c r="Z312" s="6">
        <v>16282.72</v>
      </c>
      <c r="AA312" s="6">
        <v>195392.64000000001</v>
      </c>
      <c r="AB312" s="4" t="s">
        <v>2232</v>
      </c>
      <c r="AC312" s="7" t="s">
        <v>2224</v>
      </c>
    </row>
    <row r="313" spans="1:29" ht="15" customHeight="1" collapsed="1" thickBot="1" x14ac:dyDescent="0.3">
      <c r="A313" s="20" t="str">
        <f>CONCATENATE("253"," - ","MISS", " ","Lerato"," ", "Khanye")</f>
        <v>253 - MISS Lerato Khanye</v>
      </c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2"/>
    </row>
    <row r="314" spans="1:29" ht="15" hidden="1" customHeight="1" outlineLevel="1" thickBot="1" x14ac:dyDescent="0.3">
      <c r="A314" s="4" t="s">
        <v>2740</v>
      </c>
      <c r="B314" s="4" t="s">
        <v>347</v>
      </c>
      <c r="C314" s="4" t="s">
        <v>2220</v>
      </c>
      <c r="D314" s="5">
        <v>42962.536805555552</v>
      </c>
      <c r="E314" s="4" t="s">
        <v>2221</v>
      </c>
      <c r="F314" s="4" t="s">
        <v>2222</v>
      </c>
      <c r="G314" s="4" t="s">
        <v>2234</v>
      </c>
      <c r="H314" s="4" t="s">
        <v>878</v>
      </c>
      <c r="I314" s="4" t="s">
        <v>1428</v>
      </c>
      <c r="J314" s="4" t="s">
        <v>1432</v>
      </c>
      <c r="K314" s="5">
        <v>33262</v>
      </c>
      <c r="L314" s="4" t="s">
        <v>2741</v>
      </c>
      <c r="M314" s="4" t="s">
        <v>9</v>
      </c>
      <c r="N314" s="5">
        <v>41307</v>
      </c>
      <c r="O314" s="5" t="s">
        <v>2224</v>
      </c>
      <c r="P314" s="4" t="s">
        <v>2224</v>
      </c>
      <c r="Q314" s="4" t="s">
        <v>2742</v>
      </c>
      <c r="R314" s="4" t="s">
        <v>2226</v>
      </c>
      <c r="S314" s="4" t="s">
        <v>2227</v>
      </c>
      <c r="T314" s="4" t="s">
        <v>2228</v>
      </c>
      <c r="U314" s="4" t="s">
        <v>2237</v>
      </c>
      <c r="V314" s="4" t="s">
        <v>8</v>
      </c>
      <c r="W314" s="4" t="s">
        <v>2238</v>
      </c>
      <c r="X314" s="4" t="s">
        <v>2224</v>
      </c>
      <c r="Y314" s="4" t="s">
        <v>2239</v>
      </c>
      <c r="Z314" s="6">
        <v>16486.2572</v>
      </c>
      <c r="AA314" s="6">
        <v>197835.09</v>
      </c>
      <c r="AB314" s="4" t="s">
        <v>2232</v>
      </c>
      <c r="AC314" s="7" t="s">
        <v>2224</v>
      </c>
    </row>
    <row r="315" spans="1:29" ht="15" customHeight="1" collapsed="1" thickBot="1" x14ac:dyDescent="0.3">
      <c r="A315" s="20" t="str">
        <f>CONCATENATE("254"," - ","MISS", " ","Matisetso"," ", "Khauli")</f>
        <v>254 - MISS Matisetso Khauli</v>
      </c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2"/>
    </row>
    <row r="316" spans="1:29" ht="15" hidden="1" customHeight="1" outlineLevel="1" thickBot="1" x14ac:dyDescent="0.3">
      <c r="A316" s="4" t="s">
        <v>2743</v>
      </c>
      <c r="B316" s="4" t="s">
        <v>441</v>
      </c>
      <c r="C316" s="4" t="s">
        <v>2220</v>
      </c>
      <c r="D316" s="5">
        <v>42962.461111111108</v>
      </c>
      <c r="E316" s="4" t="s">
        <v>2221</v>
      </c>
      <c r="F316" s="4" t="s">
        <v>2222</v>
      </c>
      <c r="G316" s="4" t="s">
        <v>2234</v>
      </c>
      <c r="H316" s="4" t="s">
        <v>788</v>
      </c>
      <c r="I316" s="4" t="s">
        <v>1615</v>
      </c>
      <c r="J316" s="4" t="s">
        <v>1614</v>
      </c>
      <c r="K316" s="5">
        <v>31037</v>
      </c>
      <c r="L316" s="4" t="s">
        <v>2744</v>
      </c>
      <c r="M316" s="4" t="s">
        <v>9</v>
      </c>
      <c r="N316" s="5">
        <v>41652</v>
      </c>
      <c r="O316" s="5" t="s">
        <v>2224</v>
      </c>
      <c r="P316" s="4" t="s">
        <v>2224</v>
      </c>
      <c r="Q316" s="4" t="s">
        <v>2745</v>
      </c>
      <c r="R316" s="4" t="s">
        <v>2226</v>
      </c>
      <c r="S316" s="4" t="s">
        <v>2227</v>
      </c>
      <c r="T316" s="4" t="s">
        <v>2228</v>
      </c>
      <c r="U316" s="4" t="s">
        <v>2229</v>
      </c>
      <c r="V316" s="4" t="s">
        <v>25</v>
      </c>
      <c r="W316" s="4" t="s">
        <v>2278</v>
      </c>
      <c r="X316" s="4" t="s">
        <v>2224</v>
      </c>
      <c r="Y316" s="4" t="s">
        <v>2423</v>
      </c>
      <c r="Z316" s="6">
        <v>7471.3374999999996</v>
      </c>
      <c r="AA316" s="6">
        <v>89656.05</v>
      </c>
      <c r="AB316" s="4" t="s">
        <v>2232</v>
      </c>
      <c r="AC316" s="7" t="s">
        <v>2224</v>
      </c>
    </row>
    <row r="317" spans="1:29" ht="15" customHeight="1" collapsed="1" thickBot="1" x14ac:dyDescent="0.3">
      <c r="A317" s="20" t="str">
        <f>CONCATENATE("255"," - ","MISS", " ","Tabita"," ", "Khauoe")</f>
        <v>255 - MISS Tabita Khauoe</v>
      </c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2"/>
    </row>
    <row r="318" spans="1:29" ht="15" hidden="1" customHeight="1" outlineLevel="1" thickBot="1" x14ac:dyDescent="0.3">
      <c r="A318" s="4" t="s">
        <v>2746</v>
      </c>
      <c r="B318" s="4" t="s">
        <v>508</v>
      </c>
      <c r="C318" s="4" t="s">
        <v>2220</v>
      </c>
      <c r="D318" s="5">
        <v>42962.549999999996</v>
      </c>
      <c r="E318" s="4" t="s">
        <v>2221</v>
      </c>
      <c r="F318" s="4" t="s">
        <v>2222</v>
      </c>
      <c r="G318" s="4" t="s">
        <v>2234</v>
      </c>
      <c r="H318" s="4" t="s">
        <v>1095</v>
      </c>
      <c r="I318" s="4" t="s">
        <v>1751</v>
      </c>
      <c r="J318" s="4" t="s">
        <v>1750</v>
      </c>
      <c r="K318" s="5">
        <v>34145</v>
      </c>
      <c r="L318" s="4" t="s">
        <v>2747</v>
      </c>
      <c r="M318" s="4" t="s">
        <v>9</v>
      </c>
      <c r="N318" s="5">
        <v>41975</v>
      </c>
      <c r="O318" s="5" t="s">
        <v>2224</v>
      </c>
      <c r="P318" s="4" t="s">
        <v>2224</v>
      </c>
      <c r="Q318" s="4" t="s">
        <v>2552</v>
      </c>
      <c r="R318" s="4" t="s">
        <v>2226</v>
      </c>
      <c r="S318" s="4" t="s">
        <v>2227</v>
      </c>
      <c r="T318" s="4" t="s">
        <v>2228</v>
      </c>
      <c r="U318" s="4" t="s">
        <v>2237</v>
      </c>
      <c r="V318" s="4" t="s">
        <v>8</v>
      </c>
      <c r="W318" s="4" t="s">
        <v>2278</v>
      </c>
      <c r="X318" s="4" t="s">
        <v>2224</v>
      </c>
      <c r="Y318" s="4" t="s">
        <v>2239</v>
      </c>
      <c r="Z318" s="6">
        <v>16486.259999999998</v>
      </c>
      <c r="AA318" s="6">
        <v>197835.12</v>
      </c>
      <c r="AB318" s="4" t="s">
        <v>2232</v>
      </c>
      <c r="AC318" s="7" t="s">
        <v>2224</v>
      </c>
    </row>
    <row r="319" spans="1:29" ht="15" customHeight="1" collapsed="1" thickBot="1" x14ac:dyDescent="0.3">
      <c r="A319" s="20" t="str">
        <f>CONCATENATE("256"," - ","MISS", " ","Nosipho"," ", "Kheswa")</f>
        <v>256 - MISS Nosipho Kheswa</v>
      </c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2"/>
    </row>
    <row r="320" spans="1:29" ht="15" hidden="1" customHeight="1" outlineLevel="1" thickBot="1" x14ac:dyDescent="0.3">
      <c r="A320" s="4" t="s">
        <v>2748</v>
      </c>
      <c r="B320" s="4" t="s">
        <v>550</v>
      </c>
      <c r="C320" s="4" t="s">
        <v>2220</v>
      </c>
      <c r="D320" s="5">
        <v>42962.549999999996</v>
      </c>
      <c r="E320" s="4" t="s">
        <v>2221</v>
      </c>
      <c r="F320" s="4" t="s">
        <v>2222</v>
      </c>
      <c r="G320" s="4" t="s">
        <v>2234</v>
      </c>
      <c r="H320" s="4" t="s">
        <v>797</v>
      </c>
      <c r="I320" s="4" t="s">
        <v>1767</v>
      </c>
      <c r="J320" s="4" t="s">
        <v>1823</v>
      </c>
      <c r="K320" s="5">
        <v>33770</v>
      </c>
      <c r="L320" s="4" t="s">
        <v>2749</v>
      </c>
      <c r="M320" s="4" t="s">
        <v>9</v>
      </c>
      <c r="N320" s="5">
        <v>42072</v>
      </c>
      <c r="O320" s="5" t="s">
        <v>2224</v>
      </c>
      <c r="P320" s="4" t="s">
        <v>2224</v>
      </c>
      <c r="Q320" s="4" t="s">
        <v>2750</v>
      </c>
      <c r="R320" s="4" t="s">
        <v>2226</v>
      </c>
      <c r="S320" s="4" t="s">
        <v>2227</v>
      </c>
      <c r="T320" s="4" t="s">
        <v>2228</v>
      </c>
      <c r="U320" s="4" t="s">
        <v>2237</v>
      </c>
      <c r="V320" s="4" t="s">
        <v>8</v>
      </c>
      <c r="W320" s="4" t="s">
        <v>2278</v>
      </c>
      <c r="X320" s="4" t="s">
        <v>2224</v>
      </c>
      <c r="Y320" s="4" t="s">
        <v>2239</v>
      </c>
      <c r="Z320" s="6">
        <v>16081.7</v>
      </c>
      <c r="AA320" s="6">
        <v>192980.4</v>
      </c>
      <c r="AB320" s="4" t="s">
        <v>2232</v>
      </c>
      <c r="AC320" s="7" t="s">
        <v>2224</v>
      </c>
    </row>
    <row r="321" spans="1:29" ht="15" customHeight="1" collapsed="1" thickBot="1" x14ac:dyDescent="0.3">
      <c r="A321" s="20" t="str">
        <f>CONCATENATE("257"," - ","MISS", " ","Rebecca"," ", "Khitsane")</f>
        <v>257 - MISS Rebecca Khitsane</v>
      </c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2"/>
    </row>
    <row r="322" spans="1:29" ht="15" hidden="1" customHeight="1" outlineLevel="1" thickBot="1" x14ac:dyDescent="0.3">
      <c r="A322" s="4" t="s">
        <v>2751</v>
      </c>
      <c r="B322" s="4" t="s">
        <v>529</v>
      </c>
      <c r="C322" s="4" t="s">
        <v>2220</v>
      </c>
      <c r="D322" s="5">
        <v>42962.461111111108</v>
      </c>
      <c r="E322" s="4" t="s">
        <v>2221</v>
      </c>
      <c r="F322" s="4" t="s">
        <v>2222</v>
      </c>
      <c r="G322" s="4" t="s">
        <v>2234</v>
      </c>
      <c r="H322" s="4" t="s">
        <v>1787</v>
      </c>
      <c r="I322" s="4" t="s">
        <v>1788</v>
      </c>
      <c r="J322" s="4" t="s">
        <v>1786</v>
      </c>
      <c r="K322" s="5">
        <v>33672</v>
      </c>
      <c r="L322" s="4" t="s">
        <v>2752</v>
      </c>
      <c r="M322" s="4" t="s">
        <v>9</v>
      </c>
      <c r="N322" s="5">
        <v>42058</v>
      </c>
      <c r="O322" s="5" t="s">
        <v>2224</v>
      </c>
      <c r="P322" s="4" t="s">
        <v>2224</v>
      </c>
      <c r="Q322" s="4" t="s">
        <v>2753</v>
      </c>
      <c r="R322" s="4" t="s">
        <v>2226</v>
      </c>
      <c r="S322" s="4" t="s">
        <v>2227</v>
      </c>
      <c r="T322" s="4" t="s">
        <v>2228</v>
      </c>
      <c r="U322" s="4" t="s">
        <v>2229</v>
      </c>
      <c r="V322" s="4" t="s">
        <v>25</v>
      </c>
      <c r="W322" s="4" t="s">
        <v>2278</v>
      </c>
      <c r="X322" s="4" t="s">
        <v>2224</v>
      </c>
      <c r="Y322" s="4" t="s">
        <v>2423</v>
      </c>
      <c r="Z322" s="6">
        <v>5355.0716000000002</v>
      </c>
      <c r="AA322" s="6">
        <v>64260.86</v>
      </c>
      <c r="AB322" s="4" t="s">
        <v>2232</v>
      </c>
      <c r="AC322" s="7" t="s">
        <v>2224</v>
      </c>
    </row>
    <row r="323" spans="1:29" ht="15" customHeight="1" collapsed="1" thickBot="1" x14ac:dyDescent="0.3">
      <c r="A323" s="20" t="str">
        <f>CONCATENATE("258"," - ","MISS", " ","Innocentia"," ", "Khuboni")</f>
        <v>258 - MISS Innocentia Khuboni</v>
      </c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2"/>
    </row>
    <row r="324" spans="1:29" ht="15" hidden="1" customHeight="1" outlineLevel="1" thickBot="1" x14ac:dyDescent="0.3">
      <c r="A324" s="4" t="s">
        <v>2754</v>
      </c>
      <c r="B324" s="4" t="s">
        <v>86</v>
      </c>
      <c r="C324" s="4" t="s">
        <v>2220</v>
      </c>
      <c r="D324" s="5">
        <v>42962.462500000001</v>
      </c>
      <c r="E324" s="4" t="s">
        <v>2221</v>
      </c>
      <c r="F324" s="4" t="s">
        <v>2222</v>
      </c>
      <c r="G324" s="4" t="s">
        <v>2234</v>
      </c>
      <c r="H324" s="4" t="s">
        <v>931</v>
      </c>
      <c r="I324" s="4" t="s">
        <v>932</v>
      </c>
      <c r="J324" s="4" t="s">
        <v>930</v>
      </c>
      <c r="K324" s="5">
        <v>27465</v>
      </c>
      <c r="L324" s="4" t="s">
        <v>2755</v>
      </c>
      <c r="M324" s="4" t="s">
        <v>9</v>
      </c>
      <c r="N324" s="5">
        <v>39020</v>
      </c>
      <c r="O324" s="5" t="s">
        <v>2224</v>
      </c>
      <c r="P324" s="4" t="s">
        <v>2224</v>
      </c>
      <c r="Q324" s="4" t="s">
        <v>2756</v>
      </c>
      <c r="R324" s="4" t="s">
        <v>2226</v>
      </c>
      <c r="S324" s="4" t="s">
        <v>2227</v>
      </c>
      <c r="T324" s="4" t="s">
        <v>2228</v>
      </c>
      <c r="U324" s="4" t="s">
        <v>2248</v>
      </c>
      <c r="V324" s="4" t="s">
        <v>25</v>
      </c>
      <c r="W324" s="4" t="s">
        <v>2278</v>
      </c>
      <c r="X324" s="4" t="s">
        <v>2224</v>
      </c>
      <c r="Y324" s="4" t="s">
        <v>2609</v>
      </c>
      <c r="Z324" s="6">
        <v>17112.2621</v>
      </c>
      <c r="AA324" s="6">
        <v>205347.15</v>
      </c>
      <c r="AB324" s="4" t="s">
        <v>2232</v>
      </c>
      <c r="AC324" s="7" t="s">
        <v>2224</v>
      </c>
    </row>
    <row r="325" spans="1:29" ht="15" customHeight="1" collapsed="1" thickBot="1" x14ac:dyDescent="0.3">
      <c r="A325" s="20" t="str">
        <f>CONCATENATE("26"," - ","MISS", " ","Farhanaaz"," ", "Adams")</f>
        <v>26 - MISS Farhanaaz Adams</v>
      </c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2"/>
    </row>
    <row r="326" spans="1:29" ht="15" hidden="1" customHeight="1" outlineLevel="1" thickBot="1" x14ac:dyDescent="0.3">
      <c r="A326" s="4" t="s">
        <v>2757</v>
      </c>
      <c r="B326" s="4" t="s">
        <v>40</v>
      </c>
      <c r="C326" s="4" t="s">
        <v>2220</v>
      </c>
      <c r="D326" s="5">
        <v>42962.461111111108</v>
      </c>
      <c r="E326" s="4" t="s">
        <v>2221</v>
      </c>
      <c r="F326" s="4" t="s">
        <v>2222</v>
      </c>
      <c r="G326" s="4" t="s">
        <v>2234</v>
      </c>
      <c r="H326" s="4" t="s">
        <v>841</v>
      </c>
      <c r="I326" s="4" t="s">
        <v>842</v>
      </c>
      <c r="J326" s="4" t="s">
        <v>840</v>
      </c>
      <c r="K326" s="5">
        <v>29750</v>
      </c>
      <c r="L326" s="4" t="s">
        <v>2758</v>
      </c>
      <c r="M326" s="4" t="s">
        <v>9</v>
      </c>
      <c r="N326" s="5">
        <v>38986</v>
      </c>
      <c r="O326" s="5" t="s">
        <v>2224</v>
      </c>
      <c r="P326" s="4" t="s">
        <v>2224</v>
      </c>
      <c r="Q326" s="4" t="s">
        <v>2759</v>
      </c>
      <c r="R326" s="4" t="s">
        <v>2226</v>
      </c>
      <c r="S326" s="4" t="s">
        <v>2227</v>
      </c>
      <c r="T326" s="4" t="s">
        <v>2228</v>
      </c>
      <c r="U326" s="4" t="s">
        <v>2229</v>
      </c>
      <c r="V326" s="4" t="s">
        <v>25</v>
      </c>
      <c r="W326" s="4" t="s">
        <v>2278</v>
      </c>
      <c r="X326" s="4" t="s">
        <v>2224</v>
      </c>
      <c r="Y326" s="4" t="s">
        <v>2380</v>
      </c>
      <c r="Z326" s="6">
        <v>17112.251499999998</v>
      </c>
      <c r="AA326" s="6">
        <v>205347.02</v>
      </c>
      <c r="AB326" s="4" t="s">
        <v>2232</v>
      </c>
      <c r="AC326" s="7" t="s">
        <v>2224</v>
      </c>
    </row>
    <row r="327" spans="1:29" ht="15" customHeight="1" collapsed="1" thickBot="1" x14ac:dyDescent="0.3">
      <c r="A327" s="20" t="str">
        <f>CONCATENATE("261"," - ","MISS", " ","Boitumelo"," ", "Khunou")</f>
        <v>261 - MISS Boitumelo Khunou</v>
      </c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2"/>
    </row>
    <row r="328" spans="1:29" ht="15" hidden="1" customHeight="1" outlineLevel="1" thickBot="1" x14ac:dyDescent="0.3">
      <c r="A328" s="4" t="s">
        <v>2760</v>
      </c>
      <c r="B328" s="4" t="s">
        <v>399</v>
      </c>
      <c r="C328" s="4" t="s">
        <v>2220</v>
      </c>
      <c r="D328" s="5">
        <v>42962.549999999996</v>
      </c>
      <c r="E328" s="4" t="s">
        <v>2221</v>
      </c>
      <c r="F328" s="4" t="s">
        <v>2222</v>
      </c>
      <c r="G328" s="4" t="s">
        <v>2234</v>
      </c>
      <c r="H328" s="4" t="s">
        <v>791</v>
      </c>
      <c r="I328" s="4" t="s">
        <v>1222</v>
      </c>
      <c r="J328" s="4" t="s">
        <v>1523</v>
      </c>
      <c r="K328" s="5">
        <v>33376</v>
      </c>
      <c r="L328" s="4" t="s">
        <v>2761</v>
      </c>
      <c r="M328" s="4" t="s">
        <v>9</v>
      </c>
      <c r="N328" s="5">
        <v>41491</v>
      </c>
      <c r="O328" s="5" t="s">
        <v>2224</v>
      </c>
      <c r="P328" s="4" t="s">
        <v>2224</v>
      </c>
      <c r="Q328" s="4" t="s">
        <v>2762</v>
      </c>
      <c r="R328" s="4" t="s">
        <v>2226</v>
      </c>
      <c r="S328" s="4" t="s">
        <v>2227</v>
      </c>
      <c r="T328" s="4" t="s">
        <v>2228</v>
      </c>
      <c r="U328" s="4" t="s">
        <v>2237</v>
      </c>
      <c r="V328" s="4" t="s">
        <v>8</v>
      </c>
      <c r="W328" s="4" t="s">
        <v>2278</v>
      </c>
      <c r="X328" s="4" t="s">
        <v>2224</v>
      </c>
      <c r="Y328" s="4" t="s">
        <v>2239</v>
      </c>
      <c r="Z328" s="6">
        <v>16692.34</v>
      </c>
      <c r="AA328" s="6">
        <v>200308.08</v>
      </c>
      <c r="AB328" s="4" t="s">
        <v>2232</v>
      </c>
      <c r="AC328" s="7" t="s">
        <v>2224</v>
      </c>
    </row>
    <row r="329" spans="1:29" ht="15" customHeight="1" collapsed="1" thickBot="1" x14ac:dyDescent="0.3">
      <c r="A329" s="20" t="str">
        <f>CONCATENATE("262"," - ","MR", " ","Peter"," ", "Kiely")</f>
        <v>262 - MR Peter Kiely</v>
      </c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2"/>
    </row>
    <row r="330" spans="1:29" ht="15" hidden="1" customHeight="1" outlineLevel="1" thickBot="1" x14ac:dyDescent="0.3">
      <c r="A330" s="4" t="s">
        <v>2763</v>
      </c>
      <c r="B330" s="4" t="s">
        <v>10</v>
      </c>
      <c r="C330" s="4" t="s">
        <v>2220</v>
      </c>
      <c r="D330" s="5">
        <v>42962.462500000001</v>
      </c>
      <c r="E330" s="4" t="s">
        <v>2221</v>
      </c>
      <c r="F330" s="4" t="s">
        <v>2222</v>
      </c>
      <c r="G330" s="4" t="s">
        <v>2014</v>
      </c>
      <c r="H330" s="4" t="s">
        <v>781</v>
      </c>
      <c r="I330" s="4" t="s">
        <v>786</v>
      </c>
      <c r="J330" s="4" t="s">
        <v>784</v>
      </c>
      <c r="K330" s="5">
        <v>17220</v>
      </c>
      <c r="L330" s="4" t="s">
        <v>2764</v>
      </c>
      <c r="M330" s="4" t="s">
        <v>9</v>
      </c>
      <c r="N330" s="5">
        <v>38944</v>
      </c>
      <c r="O330" s="5" t="s">
        <v>2224</v>
      </c>
      <c r="P330" s="4" t="s">
        <v>2224</v>
      </c>
      <c r="Q330" s="4" t="s">
        <v>2765</v>
      </c>
      <c r="R330" s="4" t="s">
        <v>2226</v>
      </c>
      <c r="S330" s="4" t="s">
        <v>2227</v>
      </c>
      <c r="T330" s="4" t="s">
        <v>2228</v>
      </c>
      <c r="U330" s="4" t="s">
        <v>2248</v>
      </c>
      <c r="V330" s="4" t="s">
        <v>11</v>
      </c>
      <c r="W330" s="4" t="s">
        <v>2766</v>
      </c>
      <c r="X330" s="4" t="s">
        <v>2224</v>
      </c>
      <c r="Y330" s="4" t="s">
        <v>2298</v>
      </c>
      <c r="Z330" s="6">
        <v>84704</v>
      </c>
      <c r="AA330" s="6">
        <v>1016448</v>
      </c>
      <c r="AB330" s="4" t="s">
        <v>2232</v>
      </c>
      <c r="AC330" s="7" t="s">
        <v>2224</v>
      </c>
    </row>
    <row r="331" spans="1:29" ht="15" customHeight="1" collapsed="1" thickBot="1" x14ac:dyDescent="0.3">
      <c r="A331" s="20" t="str">
        <f>CONCATENATE("263"," - ","MR", " ","Jaco"," ", "Kilian")</f>
        <v>263 - MR Jaco Kilian</v>
      </c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2"/>
    </row>
    <row r="332" spans="1:29" ht="15" hidden="1" customHeight="1" outlineLevel="1" thickBot="1" x14ac:dyDescent="0.3">
      <c r="A332" s="4" t="s">
        <v>2767</v>
      </c>
      <c r="B332" s="4" t="s">
        <v>684</v>
      </c>
      <c r="C332" s="4" t="s">
        <v>2220</v>
      </c>
      <c r="D332" s="5">
        <v>42957.413194444445</v>
      </c>
      <c r="E332" s="4" t="s">
        <v>2221</v>
      </c>
      <c r="F332" s="4" t="s">
        <v>2222</v>
      </c>
      <c r="G332" s="4" t="s">
        <v>2014</v>
      </c>
      <c r="H332" s="4" t="s">
        <v>888</v>
      </c>
      <c r="I332" s="4" t="s">
        <v>1461</v>
      </c>
      <c r="J332" s="4" t="s">
        <v>2039</v>
      </c>
      <c r="K332" s="5">
        <v>32765</v>
      </c>
      <c r="L332" s="4" t="s">
        <v>2768</v>
      </c>
      <c r="M332" s="4" t="s">
        <v>9</v>
      </c>
      <c r="N332" s="5">
        <v>42522</v>
      </c>
      <c r="O332" s="5" t="s">
        <v>2224</v>
      </c>
      <c r="P332" s="4" t="s">
        <v>2224</v>
      </c>
      <c r="Q332" s="4" t="s">
        <v>2769</v>
      </c>
      <c r="R332" s="4" t="s">
        <v>2226</v>
      </c>
      <c r="S332" s="4" t="s">
        <v>2227</v>
      </c>
      <c r="T332" s="4" t="s">
        <v>2228</v>
      </c>
      <c r="U332" s="4" t="s">
        <v>2248</v>
      </c>
      <c r="V332" s="4" t="s">
        <v>2770</v>
      </c>
      <c r="W332" s="4" t="s">
        <v>2249</v>
      </c>
      <c r="X332" s="4" t="s">
        <v>2224</v>
      </c>
      <c r="Y332" s="4" t="s">
        <v>2771</v>
      </c>
      <c r="Z332" s="6">
        <v>75000</v>
      </c>
      <c r="AA332" s="6">
        <v>900000</v>
      </c>
      <c r="AB332" s="4" t="s">
        <v>2232</v>
      </c>
      <c r="AC332" s="7" t="s">
        <v>2224</v>
      </c>
    </row>
    <row r="333" spans="1:29" ht="15" customHeight="1" collapsed="1" thickBot="1" x14ac:dyDescent="0.3">
      <c r="A333" s="20" t="str">
        <f>CONCATENATE("264"," - ","MR", " ","Johan"," ", "Killian")</f>
        <v>264 - MR Johan Killian</v>
      </c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2"/>
    </row>
    <row r="334" spans="1:29" ht="15" hidden="1" customHeight="1" outlineLevel="1" thickBot="1" x14ac:dyDescent="0.3">
      <c r="A334" s="4" t="s">
        <v>2772</v>
      </c>
      <c r="B334" s="4" t="s">
        <v>320</v>
      </c>
      <c r="C334" s="4" t="s">
        <v>2220</v>
      </c>
      <c r="D334" s="5">
        <v>42962.461805555555</v>
      </c>
      <c r="E334" s="4" t="s">
        <v>2221</v>
      </c>
      <c r="F334" s="4" t="s">
        <v>2222</v>
      </c>
      <c r="G334" s="4" t="s">
        <v>2014</v>
      </c>
      <c r="H334" s="4" t="s">
        <v>1376</v>
      </c>
      <c r="I334" s="4" t="s">
        <v>1377</v>
      </c>
      <c r="J334" s="4" t="s">
        <v>1382</v>
      </c>
      <c r="K334" s="5">
        <v>28129</v>
      </c>
      <c r="L334" s="4" t="s">
        <v>2773</v>
      </c>
      <c r="M334" s="4" t="s">
        <v>9</v>
      </c>
      <c r="N334" s="5">
        <v>41239</v>
      </c>
      <c r="O334" s="5" t="s">
        <v>2224</v>
      </c>
      <c r="P334" s="4" t="s">
        <v>2224</v>
      </c>
      <c r="Q334" s="4" t="s">
        <v>2774</v>
      </c>
      <c r="R334" s="4" t="s">
        <v>2226</v>
      </c>
      <c r="S334" s="4" t="s">
        <v>2227</v>
      </c>
      <c r="T334" s="4" t="s">
        <v>2228</v>
      </c>
      <c r="U334" s="4" t="s">
        <v>2229</v>
      </c>
      <c r="V334" s="4" t="s">
        <v>25</v>
      </c>
      <c r="W334" s="4" t="s">
        <v>2278</v>
      </c>
      <c r="X334" s="4" t="s">
        <v>2224</v>
      </c>
      <c r="Y334" s="4" t="s">
        <v>2469</v>
      </c>
      <c r="Z334" s="6">
        <v>16692.34</v>
      </c>
      <c r="AA334" s="6">
        <v>200308.08</v>
      </c>
      <c r="AB334" s="4" t="s">
        <v>2232</v>
      </c>
      <c r="AC334" s="7" t="s">
        <v>2224</v>
      </c>
    </row>
    <row r="335" spans="1:29" ht="15" customHeight="1" collapsed="1" thickBot="1" x14ac:dyDescent="0.3">
      <c r="A335" s="20" t="str">
        <f>CONCATENATE("265"," - ","MR", " ","Dylan"," ", "Kinnes")</f>
        <v>265 - MR Dylan Kinnes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2"/>
    </row>
    <row r="336" spans="1:29" ht="15" hidden="1" customHeight="1" outlineLevel="1" thickBot="1" x14ac:dyDescent="0.3">
      <c r="A336" s="4" t="s">
        <v>2775</v>
      </c>
      <c r="B336" s="4" t="s">
        <v>475</v>
      </c>
      <c r="C336" s="4" t="s">
        <v>2220</v>
      </c>
      <c r="D336" s="5">
        <v>42962.549999999996</v>
      </c>
      <c r="E336" s="4" t="s">
        <v>2221</v>
      </c>
      <c r="F336" s="4" t="s">
        <v>2222</v>
      </c>
      <c r="G336" s="4" t="s">
        <v>2014</v>
      </c>
      <c r="H336" s="4" t="s">
        <v>1685</v>
      </c>
      <c r="I336" s="4" t="s">
        <v>1686</v>
      </c>
      <c r="J336" s="4" t="s">
        <v>1684</v>
      </c>
      <c r="K336" s="5">
        <v>33305</v>
      </c>
      <c r="L336" s="4" t="s">
        <v>2776</v>
      </c>
      <c r="M336" s="4" t="s">
        <v>9</v>
      </c>
      <c r="N336" s="5">
        <v>41855</v>
      </c>
      <c r="O336" s="5" t="s">
        <v>2224</v>
      </c>
      <c r="P336" s="4" t="s">
        <v>2224</v>
      </c>
      <c r="Q336" s="4" t="s">
        <v>2777</v>
      </c>
      <c r="R336" s="4" t="s">
        <v>2226</v>
      </c>
      <c r="S336" s="4" t="s">
        <v>2227</v>
      </c>
      <c r="T336" s="4" t="s">
        <v>2228</v>
      </c>
      <c r="U336" s="4" t="s">
        <v>2237</v>
      </c>
      <c r="V336" s="4" t="s">
        <v>8</v>
      </c>
      <c r="W336" s="4" t="s">
        <v>2278</v>
      </c>
      <c r="X336" s="4" t="s">
        <v>2224</v>
      </c>
      <c r="Y336" s="4" t="s">
        <v>2239</v>
      </c>
      <c r="Z336" s="6">
        <v>16486.259999999998</v>
      </c>
      <c r="AA336" s="6">
        <v>197835.12</v>
      </c>
      <c r="AB336" s="4" t="s">
        <v>2232</v>
      </c>
      <c r="AC336" s="7" t="s">
        <v>2224</v>
      </c>
    </row>
    <row r="337" spans="1:29" ht="15" customHeight="1" collapsed="1" thickBot="1" x14ac:dyDescent="0.3">
      <c r="A337" s="20" t="str">
        <f>CONCATENATE("266"," - ","MISS", " ","Kamisha"," ", "Kissoonlal")</f>
        <v>266 - MISS Kamisha Kissoonlal</v>
      </c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2"/>
    </row>
    <row r="338" spans="1:29" ht="15" hidden="1" customHeight="1" outlineLevel="1" thickBot="1" x14ac:dyDescent="0.3">
      <c r="A338" s="4" t="s">
        <v>2778</v>
      </c>
      <c r="B338" s="4" t="s">
        <v>520</v>
      </c>
      <c r="C338" s="4" t="s">
        <v>2220</v>
      </c>
      <c r="D338" s="5">
        <v>42962.461805555555</v>
      </c>
      <c r="E338" s="4" t="s">
        <v>2221</v>
      </c>
      <c r="F338" s="4" t="s">
        <v>2222</v>
      </c>
      <c r="G338" s="4" t="s">
        <v>2234</v>
      </c>
      <c r="H338" s="4" t="s">
        <v>1120</v>
      </c>
      <c r="I338" s="4" t="s">
        <v>1771</v>
      </c>
      <c r="J338" s="4" t="s">
        <v>1770</v>
      </c>
      <c r="K338" s="5">
        <v>33835</v>
      </c>
      <c r="L338" s="4" t="s">
        <v>2779</v>
      </c>
      <c r="M338" s="4" t="s">
        <v>9</v>
      </c>
      <c r="N338" s="5">
        <v>42072</v>
      </c>
      <c r="O338" s="5" t="s">
        <v>2224</v>
      </c>
      <c r="P338" s="4" t="s">
        <v>2224</v>
      </c>
      <c r="Q338" s="4" t="s">
        <v>2780</v>
      </c>
      <c r="R338" s="4" t="s">
        <v>2226</v>
      </c>
      <c r="S338" s="4" t="s">
        <v>2227</v>
      </c>
      <c r="T338" s="4" t="s">
        <v>2228</v>
      </c>
      <c r="U338" s="4" t="s">
        <v>2229</v>
      </c>
      <c r="V338" s="4" t="s">
        <v>25</v>
      </c>
      <c r="W338" s="4" t="s">
        <v>2278</v>
      </c>
      <c r="X338" s="4" t="s">
        <v>2224</v>
      </c>
      <c r="Y338" s="4" t="s">
        <v>2511</v>
      </c>
      <c r="Z338" s="6">
        <v>10710.1538</v>
      </c>
      <c r="AA338" s="6">
        <v>128521.85</v>
      </c>
      <c r="AB338" s="4" t="s">
        <v>2232</v>
      </c>
      <c r="AC338" s="7" t="s">
        <v>2224</v>
      </c>
    </row>
    <row r="339" spans="1:29" ht="15" customHeight="1" collapsed="1" thickBot="1" x14ac:dyDescent="0.3">
      <c r="A339" s="20" t="str">
        <f>CONCATENATE("267"," - ","MISS", " ","Keryn-Leigh"," ", "Kistan")</f>
        <v>267 - MISS Keryn-Leigh Kistan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2"/>
    </row>
    <row r="340" spans="1:29" ht="15" hidden="1" customHeight="1" outlineLevel="1" thickBot="1" x14ac:dyDescent="0.3">
      <c r="A340" s="4" t="s">
        <v>2781</v>
      </c>
      <c r="B340" s="4" t="s">
        <v>497</v>
      </c>
      <c r="C340" s="4" t="s">
        <v>2220</v>
      </c>
      <c r="D340" s="5">
        <v>42962.549999999996</v>
      </c>
      <c r="E340" s="4" t="s">
        <v>2221</v>
      </c>
      <c r="F340" s="4" t="s">
        <v>2222</v>
      </c>
      <c r="G340" s="4" t="s">
        <v>2234</v>
      </c>
      <c r="H340" s="4" t="s">
        <v>1329</v>
      </c>
      <c r="I340" s="4" t="s">
        <v>1726</v>
      </c>
      <c r="J340" s="4" t="s">
        <v>1725</v>
      </c>
      <c r="K340" s="5">
        <v>34675</v>
      </c>
      <c r="L340" s="4" t="s">
        <v>2782</v>
      </c>
      <c r="M340" s="4" t="s">
        <v>9</v>
      </c>
      <c r="N340" s="5">
        <v>41947</v>
      </c>
      <c r="O340" s="5" t="s">
        <v>2224</v>
      </c>
      <c r="P340" s="4" t="s">
        <v>2224</v>
      </c>
      <c r="Q340" s="4" t="s">
        <v>2783</v>
      </c>
      <c r="R340" s="4" t="s">
        <v>2226</v>
      </c>
      <c r="S340" s="4" t="s">
        <v>2227</v>
      </c>
      <c r="T340" s="4" t="s">
        <v>2228</v>
      </c>
      <c r="U340" s="4" t="s">
        <v>2237</v>
      </c>
      <c r="V340" s="4" t="s">
        <v>8</v>
      </c>
      <c r="W340" s="4" t="s">
        <v>2278</v>
      </c>
      <c r="X340" s="4" t="s">
        <v>2224</v>
      </c>
      <c r="Y340" s="4" t="s">
        <v>2239</v>
      </c>
      <c r="Z340" s="6">
        <v>16282.72</v>
      </c>
      <c r="AA340" s="6">
        <v>195392.64000000001</v>
      </c>
      <c r="AB340" s="4" t="s">
        <v>2232</v>
      </c>
      <c r="AC340" s="7" t="s">
        <v>2224</v>
      </c>
    </row>
    <row r="341" spans="1:29" ht="15" customHeight="1" collapsed="1" thickBot="1" x14ac:dyDescent="0.3">
      <c r="A341" s="20" t="str">
        <f>CONCATENATE("268"," - ","MR", " ","Jacobus"," ", "Kleinhans")</f>
        <v>268 - MR Jacobus Kleinhans</v>
      </c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2"/>
    </row>
    <row r="342" spans="1:29" ht="15" hidden="1" customHeight="1" outlineLevel="1" thickBot="1" x14ac:dyDescent="0.3">
      <c r="A342" s="4" t="s">
        <v>2784</v>
      </c>
      <c r="B342" s="4" t="s">
        <v>113</v>
      </c>
      <c r="C342" s="4" t="s">
        <v>2220</v>
      </c>
      <c r="D342" s="5">
        <v>42962.462500000001</v>
      </c>
      <c r="E342" s="4" t="s">
        <v>2221</v>
      </c>
      <c r="F342" s="4" t="s">
        <v>2222</v>
      </c>
      <c r="G342" s="4" t="s">
        <v>2014</v>
      </c>
      <c r="H342" s="4" t="s">
        <v>991</v>
      </c>
      <c r="I342" s="4" t="s">
        <v>992</v>
      </c>
      <c r="J342" s="4" t="s">
        <v>990</v>
      </c>
      <c r="K342" s="5">
        <v>23402</v>
      </c>
      <c r="L342" s="4" t="s">
        <v>2785</v>
      </c>
      <c r="M342" s="4" t="s">
        <v>9</v>
      </c>
      <c r="N342" s="5">
        <v>39034</v>
      </c>
      <c r="O342" s="5" t="s">
        <v>2224</v>
      </c>
      <c r="P342" s="4" t="s">
        <v>2224</v>
      </c>
      <c r="Q342" s="4" t="s">
        <v>2786</v>
      </c>
      <c r="R342" s="4" t="s">
        <v>2226</v>
      </c>
      <c r="S342" s="4" t="s">
        <v>2227</v>
      </c>
      <c r="T342" s="4" t="s">
        <v>2228</v>
      </c>
      <c r="U342" s="4" t="s">
        <v>2248</v>
      </c>
      <c r="V342" s="4" t="s">
        <v>114</v>
      </c>
      <c r="W342" s="4" t="s">
        <v>2297</v>
      </c>
      <c r="X342" s="4" t="s">
        <v>2224</v>
      </c>
      <c r="Y342" s="4" t="s">
        <v>2298</v>
      </c>
      <c r="Z342" s="6">
        <v>54794.128199999999</v>
      </c>
      <c r="AA342" s="6">
        <v>657529.54</v>
      </c>
      <c r="AB342" s="4" t="s">
        <v>2232</v>
      </c>
      <c r="AC342" s="7" t="s">
        <v>2224</v>
      </c>
    </row>
    <row r="343" spans="1:29" ht="15" customHeight="1" collapsed="1" thickBot="1" x14ac:dyDescent="0.3">
      <c r="A343" s="20" t="str">
        <f>CONCATENATE("269"," - ","MR", " ","Robert"," ", "Knowles")</f>
        <v>269 - MR Robert Knowles</v>
      </c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2"/>
    </row>
    <row r="344" spans="1:29" ht="15" hidden="1" customHeight="1" outlineLevel="1" thickBot="1" x14ac:dyDescent="0.3">
      <c r="A344" s="4" t="s">
        <v>2787</v>
      </c>
      <c r="B344" s="4" t="s">
        <v>434</v>
      </c>
      <c r="C344" s="4" t="s">
        <v>2220</v>
      </c>
      <c r="D344" s="5">
        <v>42963.286805555552</v>
      </c>
      <c r="E344" s="4" t="s">
        <v>2221</v>
      </c>
      <c r="F344" s="4" t="s">
        <v>2222</v>
      </c>
      <c r="G344" s="4" t="s">
        <v>2014</v>
      </c>
      <c r="H344" s="4" t="s">
        <v>1598</v>
      </c>
      <c r="I344" s="4" t="s">
        <v>870</v>
      </c>
      <c r="J344" s="4" t="s">
        <v>1597</v>
      </c>
      <c r="K344" s="5">
        <v>17968</v>
      </c>
      <c r="L344" s="4" t="s">
        <v>2788</v>
      </c>
      <c r="M344" s="4" t="s">
        <v>9</v>
      </c>
      <c r="N344" s="5">
        <v>41597</v>
      </c>
      <c r="O344" s="5" t="s">
        <v>2224</v>
      </c>
      <c r="P344" s="4" t="s">
        <v>2224</v>
      </c>
      <c r="Q344" s="4" t="s">
        <v>2789</v>
      </c>
      <c r="R344" s="4" t="s">
        <v>2226</v>
      </c>
      <c r="S344" s="4" t="s">
        <v>2227</v>
      </c>
      <c r="T344" s="4" t="s">
        <v>2228</v>
      </c>
      <c r="U344" s="4" t="s">
        <v>2258</v>
      </c>
      <c r="V344" s="4" t="s">
        <v>198</v>
      </c>
      <c r="W344" s="4" t="s">
        <v>2249</v>
      </c>
      <c r="X344" s="4" t="s">
        <v>2224</v>
      </c>
      <c r="Y344" s="4" t="s">
        <v>2259</v>
      </c>
      <c r="Z344" s="6">
        <v>134389.152</v>
      </c>
      <c r="AA344" s="6">
        <v>1612669.82</v>
      </c>
      <c r="AB344" s="4" t="s">
        <v>2232</v>
      </c>
      <c r="AC344" s="7" t="s">
        <v>2224</v>
      </c>
    </row>
    <row r="345" spans="1:29" ht="15" customHeight="1" collapsed="1" thickBot="1" x14ac:dyDescent="0.3">
      <c r="A345" s="20" t="str">
        <f>CONCATENATE("27"," - ","MRS", " ","Elze"," ", "Adolph")</f>
        <v>27 - MRS Elze Adolph</v>
      </c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2"/>
    </row>
    <row r="346" spans="1:29" ht="15" hidden="1" customHeight="1" outlineLevel="1" thickBot="1" x14ac:dyDescent="0.3">
      <c r="A346" s="4" t="s">
        <v>2790</v>
      </c>
      <c r="B346" s="4" t="s">
        <v>138</v>
      </c>
      <c r="C346" s="4" t="s">
        <v>2220</v>
      </c>
      <c r="D346" s="5">
        <v>42962.462500000001</v>
      </c>
      <c r="E346" s="4" t="s">
        <v>2221</v>
      </c>
      <c r="F346" s="4" t="s">
        <v>2222</v>
      </c>
      <c r="G346" s="4" t="s">
        <v>2280</v>
      </c>
      <c r="H346" s="4" t="s">
        <v>816</v>
      </c>
      <c r="I346" s="4" t="s">
        <v>1033</v>
      </c>
      <c r="J346" s="4" t="s">
        <v>1032</v>
      </c>
      <c r="K346" s="5">
        <v>31428</v>
      </c>
      <c r="L346" s="4" t="s">
        <v>2791</v>
      </c>
      <c r="M346" s="4" t="s">
        <v>9</v>
      </c>
      <c r="N346" s="5">
        <v>39147</v>
      </c>
      <c r="O346" s="5" t="s">
        <v>2224</v>
      </c>
      <c r="P346" s="4" t="s">
        <v>2224</v>
      </c>
      <c r="Q346" s="4" t="s">
        <v>2792</v>
      </c>
      <c r="R346" s="4" t="s">
        <v>2226</v>
      </c>
      <c r="S346" s="4" t="s">
        <v>2793</v>
      </c>
      <c r="T346" s="4" t="s">
        <v>2228</v>
      </c>
      <c r="U346" s="4" t="s">
        <v>2248</v>
      </c>
      <c r="V346" s="4" t="s">
        <v>100</v>
      </c>
      <c r="W346" s="4" t="s">
        <v>2230</v>
      </c>
      <c r="X346" s="4" t="s">
        <v>2224</v>
      </c>
      <c r="Y346" s="4" t="s">
        <v>2666</v>
      </c>
      <c r="Z346" s="6">
        <v>24210.22</v>
      </c>
      <c r="AA346" s="6">
        <v>290522.64</v>
      </c>
      <c r="AB346" s="4" t="s">
        <v>2232</v>
      </c>
      <c r="AC346" s="7" t="s">
        <v>2224</v>
      </c>
    </row>
    <row r="347" spans="1:29" ht="15" customHeight="1" collapsed="1" thickBot="1" x14ac:dyDescent="0.3">
      <c r="A347" s="20" t="str">
        <f>CONCATENATE("270"," - ","MR", " ","Luciano"," ", "Koetaan")</f>
        <v>270 - MR Luciano Koetaan</v>
      </c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2"/>
    </row>
    <row r="348" spans="1:29" ht="15" hidden="1" customHeight="1" outlineLevel="1" thickBot="1" x14ac:dyDescent="0.3">
      <c r="A348" s="4" t="s">
        <v>2794</v>
      </c>
      <c r="B348" s="4" t="s">
        <v>589</v>
      </c>
      <c r="C348" s="4" t="s">
        <v>2220</v>
      </c>
      <c r="D348" s="5">
        <v>42962.549999999996</v>
      </c>
      <c r="E348" s="4" t="s">
        <v>2221</v>
      </c>
      <c r="F348" s="4" t="s">
        <v>2222</v>
      </c>
      <c r="G348" s="4" t="s">
        <v>2014</v>
      </c>
      <c r="H348" s="4" t="s">
        <v>826</v>
      </c>
      <c r="I348" s="4" t="s">
        <v>1893</v>
      </c>
      <c r="J348" s="4" t="s">
        <v>1892</v>
      </c>
      <c r="K348" s="5">
        <v>34892</v>
      </c>
      <c r="L348" s="4" t="s">
        <v>2795</v>
      </c>
      <c r="M348" s="4" t="s">
        <v>9</v>
      </c>
      <c r="N348" s="5">
        <v>42135</v>
      </c>
      <c r="O348" s="5" t="s">
        <v>2224</v>
      </c>
      <c r="P348" s="4" t="s">
        <v>2224</v>
      </c>
      <c r="Q348" s="4" t="s">
        <v>2796</v>
      </c>
      <c r="R348" s="4" t="s">
        <v>2226</v>
      </c>
      <c r="S348" s="4" t="s">
        <v>2227</v>
      </c>
      <c r="T348" s="4" t="s">
        <v>2228</v>
      </c>
      <c r="U348" s="4" t="s">
        <v>2237</v>
      </c>
      <c r="V348" s="4" t="s">
        <v>8</v>
      </c>
      <c r="W348" s="4" t="s">
        <v>2278</v>
      </c>
      <c r="X348" s="4" t="s">
        <v>2224</v>
      </c>
      <c r="Y348" s="4" t="s">
        <v>2239</v>
      </c>
      <c r="Z348" s="6">
        <v>16282.72</v>
      </c>
      <c r="AA348" s="6">
        <v>195392.64000000001</v>
      </c>
      <c r="AB348" s="4" t="s">
        <v>2232</v>
      </c>
      <c r="AC348" s="7" t="s">
        <v>2224</v>
      </c>
    </row>
    <row r="349" spans="1:29" ht="15" customHeight="1" collapsed="1" thickBot="1" x14ac:dyDescent="0.3">
      <c r="A349" s="20" t="str">
        <f>CONCATENATE("271"," - ","MR", " ","Thato"," ", "Koki")</f>
        <v>271 - MR Thato Koki</v>
      </c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2"/>
    </row>
    <row r="350" spans="1:29" ht="15" hidden="1" customHeight="1" outlineLevel="1" thickBot="1" x14ac:dyDescent="0.3">
      <c r="A350" s="4" t="s">
        <v>2797</v>
      </c>
      <c r="B350" s="4" t="s">
        <v>230</v>
      </c>
      <c r="C350" s="4" t="s">
        <v>2220</v>
      </c>
      <c r="D350" s="5">
        <v>42962.461111111108</v>
      </c>
      <c r="E350" s="4" t="s">
        <v>2221</v>
      </c>
      <c r="F350" s="4" t="s">
        <v>2222</v>
      </c>
      <c r="G350" s="4" t="s">
        <v>2014</v>
      </c>
      <c r="H350" s="4" t="s">
        <v>1224</v>
      </c>
      <c r="I350" s="4" t="s">
        <v>955</v>
      </c>
      <c r="J350" s="4" t="s">
        <v>1223</v>
      </c>
      <c r="K350" s="5">
        <v>31645</v>
      </c>
      <c r="L350" s="4" t="s">
        <v>2798</v>
      </c>
      <c r="M350" s="4" t="s">
        <v>9</v>
      </c>
      <c r="N350" s="5">
        <v>40299</v>
      </c>
      <c r="O350" s="5" t="s">
        <v>2224</v>
      </c>
      <c r="P350" s="4" t="s">
        <v>2224</v>
      </c>
      <c r="Q350" s="4" t="s">
        <v>2799</v>
      </c>
      <c r="R350" s="4" t="s">
        <v>2226</v>
      </c>
      <c r="S350" s="4" t="s">
        <v>2227</v>
      </c>
      <c r="T350" s="4" t="s">
        <v>2228</v>
      </c>
      <c r="U350" s="4" t="s">
        <v>2229</v>
      </c>
      <c r="V350" s="4" t="s">
        <v>25</v>
      </c>
      <c r="W350" s="4" t="s">
        <v>2278</v>
      </c>
      <c r="X350" s="4" t="s">
        <v>2224</v>
      </c>
      <c r="Y350" s="4" t="s">
        <v>2423</v>
      </c>
      <c r="Z350" s="6">
        <v>8556.1203999999998</v>
      </c>
      <c r="AA350" s="6">
        <v>102673.44</v>
      </c>
      <c r="AB350" s="4" t="s">
        <v>2232</v>
      </c>
      <c r="AC350" s="7" t="s">
        <v>2224</v>
      </c>
    </row>
    <row r="351" spans="1:29" ht="15" customHeight="1" collapsed="1" thickBot="1" x14ac:dyDescent="0.3">
      <c r="A351" s="20" t="str">
        <f>CONCATENATE("274"," - ","MISS", " ","Leandra"," ", "Kotze")</f>
        <v>274 - MISS Leandra Kotze</v>
      </c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2"/>
    </row>
    <row r="352" spans="1:29" ht="15" hidden="1" customHeight="1" outlineLevel="1" thickBot="1" x14ac:dyDescent="0.3">
      <c r="A352" s="4" t="s">
        <v>2800</v>
      </c>
      <c r="B352" s="4" t="s">
        <v>438</v>
      </c>
      <c r="C352" s="4" t="s">
        <v>2220</v>
      </c>
      <c r="D352" s="5">
        <v>42962.462500000001</v>
      </c>
      <c r="E352" s="4" t="s">
        <v>2221</v>
      </c>
      <c r="F352" s="4" t="s">
        <v>2222</v>
      </c>
      <c r="G352" s="4" t="s">
        <v>2234</v>
      </c>
      <c r="H352" s="4" t="s">
        <v>826</v>
      </c>
      <c r="I352" s="4" t="s">
        <v>1608</v>
      </c>
      <c r="J352" s="4" t="s">
        <v>1607</v>
      </c>
      <c r="K352" s="5">
        <v>32086</v>
      </c>
      <c r="L352" s="4" t="s">
        <v>2801</v>
      </c>
      <c r="M352" s="4" t="s">
        <v>9</v>
      </c>
      <c r="N352" s="5">
        <v>41652</v>
      </c>
      <c r="O352" s="5" t="s">
        <v>2224</v>
      </c>
      <c r="P352" s="4" t="s">
        <v>2224</v>
      </c>
      <c r="Q352" s="4" t="s">
        <v>2802</v>
      </c>
      <c r="R352" s="4" t="s">
        <v>2226</v>
      </c>
      <c r="S352" s="4" t="s">
        <v>2227</v>
      </c>
      <c r="T352" s="4" t="s">
        <v>2228</v>
      </c>
      <c r="U352" s="4" t="s">
        <v>2248</v>
      </c>
      <c r="V352" s="4" t="s">
        <v>100</v>
      </c>
      <c r="W352" s="4" t="s">
        <v>2278</v>
      </c>
      <c r="X352" s="4" t="s">
        <v>2224</v>
      </c>
      <c r="Y352" s="4" t="s">
        <v>2666</v>
      </c>
      <c r="Z352" s="6">
        <v>21780.2</v>
      </c>
      <c r="AA352" s="6">
        <v>261362.4</v>
      </c>
      <c r="AB352" s="4" t="s">
        <v>2232</v>
      </c>
      <c r="AC352" s="7" t="s">
        <v>2224</v>
      </c>
    </row>
    <row r="353" spans="1:29" ht="15" customHeight="1" collapsed="1" thickBot="1" x14ac:dyDescent="0.3">
      <c r="A353" s="20" t="str">
        <f>CONCATENATE("275"," - ","MISS", " ","Bianca"," ", "Kroukamp")</f>
        <v>275 - MISS Bianca Kroukamp</v>
      </c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2"/>
    </row>
    <row r="354" spans="1:29" ht="15" hidden="1" customHeight="1" outlineLevel="1" thickBot="1" x14ac:dyDescent="0.3">
      <c r="A354" s="4" t="s">
        <v>2803</v>
      </c>
      <c r="B354" s="4" t="s">
        <v>488</v>
      </c>
      <c r="C354" s="4" t="s">
        <v>2220</v>
      </c>
      <c r="D354" s="5">
        <v>42962.549999999996</v>
      </c>
      <c r="E354" s="4" t="s">
        <v>2221</v>
      </c>
      <c r="F354" s="4" t="s">
        <v>2222</v>
      </c>
      <c r="G354" s="4" t="s">
        <v>2234</v>
      </c>
      <c r="H354" s="4" t="s">
        <v>791</v>
      </c>
      <c r="I354" s="4" t="s">
        <v>1006</v>
      </c>
      <c r="J354" s="4" t="s">
        <v>1708</v>
      </c>
      <c r="K354" s="5">
        <v>32640</v>
      </c>
      <c r="L354" s="4" t="s">
        <v>2804</v>
      </c>
      <c r="M354" s="4" t="s">
        <v>9</v>
      </c>
      <c r="N354" s="5">
        <v>41928</v>
      </c>
      <c r="O354" s="5" t="s">
        <v>2224</v>
      </c>
      <c r="P354" s="4" t="s">
        <v>2224</v>
      </c>
      <c r="Q354" s="4" t="s">
        <v>2805</v>
      </c>
      <c r="R354" s="4" t="s">
        <v>2226</v>
      </c>
      <c r="S354" s="4" t="s">
        <v>2227</v>
      </c>
      <c r="T354" s="4" t="s">
        <v>2228</v>
      </c>
      <c r="U354" s="4" t="s">
        <v>2237</v>
      </c>
      <c r="V354" s="4" t="s">
        <v>8</v>
      </c>
      <c r="W354" s="4" t="s">
        <v>2278</v>
      </c>
      <c r="X354" s="4" t="s">
        <v>2224</v>
      </c>
      <c r="Y354" s="4" t="s">
        <v>2239</v>
      </c>
      <c r="Z354" s="6">
        <v>16282.72</v>
      </c>
      <c r="AA354" s="6">
        <v>195392.64000000001</v>
      </c>
      <c r="AB354" s="4" t="s">
        <v>2232</v>
      </c>
      <c r="AC354" s="7" t="s">
        <v>2224</v>
      </c>
    </row>
    <row r="355" spans="1:29" ht="15" customHeight="1" collapsed="1" thickBot="1" x14ac:dyDescent="0.3">
      <c r="A355" s="20" t="str">
        <f>CONCATENATE("276"," - ","MR", " ","ANDRIES"," ", "Kruis")</f>
        <v>276 - MR ANDRIES Kruis</v>
      </c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2"/>
    </row>
    <row r="356" spans="1:29" ht="15" hidden="1" customHeight="1" outlineLevel="1" thickBot="1" x14ac:dyDescent="0.3">
      <c r="A356" s="4" t="s">
        <v>2806</v>
      </c>
      <c r="B356" s="4" t="s">
        <v>195</v>
      </c>
      <c r="C356" s="4" t="s">
        <v>2220</v>
      </c>
      <c r="D356" s="5">
        <v>42962.462500000001</v>
      </c>
      <c r="E356" s="4" t="s">
        <v>2221</v>
      </c>
      <c r="F356" s="4" t="s">
        <v>2222</v>
      </c>
      <c r="G356" s="4" t="s">
        <v>2014</v>
      </c>
      <c r="H356" s="4" t="s">
        <v>1128</v>
      </c>
      <c r="I356" s="4" t="s">
        <v>1144</v>
      </c>
      <c r="J356" s="4" t="s">
        <v>1143</v>
      </c>
      <c r="K356" s="5">
        <v>23331</v>
      </c>
      <c r="L356" s="4" t="s">
        <v>2807</v>
      </c>
      <c r="M356" s="4" t="s">
        <v>9</v>
      </c>
      <c r="N356" s="5">
        <v>39510</v>
      </c>
      <c r="O356" s="5" t="s">
        <v>2224</v>
      </c>
      <c r="P356" s="4" t="s">
        <v>2224</v>
      </c>
      <c r="Q356" s="4" t="s">
        <v>2808</v>
      </c>
      <c r="R356" s="4" t="s">
        <v>2226</v>
      </c>
      <c r="S356" s="4" t="s">
        <v>2227</v>
      </c>
      <c r="T356" s="4" t="s">
        <v>2228</v>
      </c>
      <c r="U356" s="4" t="s">
        <v>2229</v>
      </c>
      <c r="V356" s="4" t="s">
        <v>68</v>
      </c>
      <c r="W356" s="4" t="s">
        <v>2249</v>
      </c>
      <c r="X356" s="4" t="s">
        <v>2224</v>
      </c>
      <c r="Y356" s="4" t="s">
        <v>2549</v>
      </c>
      <c r="Z356" s="6">
        <v>31953.4</v>
      </c>
      <c r="AA356" s="6">
        <v>383440.8</v>
      </c>
      <c r="AB356" s="4" t="s">
        <v>2232</v>
      </c>
      <c r="AC356" s="7" t="s">
        <v>2224</v>
      </c>
    </row>
    <row r="357" spans="1:29" ht="15" customHeight="1" collapsed="1" thickBot="1" x14ac:dyDescent="0.3">
      <c r="A357" s="20" t="str">
        <f>CONCATENATE("278"," - ","MISS", " ","Fariyaal"," ", "Kumar")</f>
        <v>278 - MISS Fariyaal Kumar</v>
      </c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2"/>
    </row>
    <row r="358" spans="1:29" ht="15" hidden="1" customHeight="1" outlineLevel="1" thickBot="1" x14ac:dyDescent="0.3">
      <c r="A358" s="4" t="s">
        <v>2809</v>
      </c>
      <c r="B358" s="4" t="s">
        <v>515</v>
      </c>
      <c r="C358" s="4" t="s">
        <v>2220</v>
      </c>
      <c r="D358" s="5">
        <v>42962.549999999996</v>
      </c>
      <c r="E358" s="4" t="s">
        <v>2221</v>
      </c>
      <c r="F358" s="4" t="s">
        <v>2222</v>
      </c>
      <c r="G358" s="4" t="s">
        <v>2234</v>
      </c>
      <c r="H358" s="4" t="s">
        <v>841</v>
      </c>
      <c r="I358" s="4" t="s">
        <v>1763</v>
      </c>
      <c r="J358" s="4" t="s">
        <v>1762</v>
      </c>
      <c r="K358" s="5">
        <v>33528</v>
      </c>
      <c r="L358" s="4" t="s">
        <v>2810</v>
      </c>
      <c r="M358" s="4" t="s">
        <v>9</v>
      </c>
      <c r="N358" s="5">
        <v>42031</v>
      </c>
      <c r="O358" s="5" t="s">
        <v>2224</v>
      </c>
      <c r="P358" s="4" t="s">
        <v>2224</v>
      </c>
      <c r="Q358" s="4" t="s">
        <v>2811</v>
      </c>
      <c r="R358" s="4" t="s">
        <v>2226</v>
      </c>
      <c r="S358" s="4" t="s">
        <v>2227</v>
      </c>
      <c r="T358" s="4" t="s">
        <v>2228</v>
      </c>
      <c r="U358" s="4" t="s">
        <v>2237</v>
      </c>
      <c r="V358" s="4" t="s">
        <v>125</v>
      </c>
      <c r="W358" s="4" t="s">
        <v>2278</v>
      </c>
      <c r="X358" s="4" t="s">
        <v>2224</v>
      </c>
      <c r="Y358" s="4" t="s">
        <v>2239</v>
      </c>
      <c r="Z358" s="6">
        <v>16282.72</v>
      </c>
      <c r="AA358" s="6">
        <v>195392.64000000001</v>
      </c>
      <c r="AB358" s="4" t="s">
        <v>2232</v>
      </c>
      <c r="AC358" s="7" t="s">
        <v>2224</v>
      </c>
    </row>
    <row r="359" spans="1:29" ht="15" customHeight="1" collapsed="1" thickBot="1" x14ac:dyDescent="0.3">
      <c r="A359" s="20" t="str">
        <f>CONCATENATE("279"," - ","MISS", " ","Lebogang"," ", "Kwapeng")</f>
        <v>279 - MISS Lebogang Kwapeng</v>
      </c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2"/>
    </row>
    <row r="360" spans="1:29" ht="15" hidden="1" customHeight="1" outlineLevel="1" thickBot="1" x14ac:dyDescent="0.3">
      <c r="A360" s="4" t="s">
        <v>2812</v>
      </c>
      <c r="B360" s="4" t="s">
        <v>33</v>
      </c>
      <c r="C360" s="4" t="s">
        <v>2220</v>
      </c>
      <c r="D360" s="5">
        <v>42962.461805555555</v>
      </c>
      <c r="E360" s="4" t="s">
        <v>2221</v>
      </c>
      <c r="F360" s="4" t="s">
        <v>2222</v>
      </c>
      <c r="G360" s="4" t="s">
        <v>2234</v>
      </c>
      <c r="H360" s="4" t="s">
        <v>826</v>
      </c>
      <c r="I360" s="4" t="s">
        <v>827</v>
      </c>
      <c r="J360" s="4" t="s">
        <v>825</v>
      </c>
      <c r="K360" s="5">
        <v>30016</v>
      </c>
      <c r="L360" s="4" t="s">
        <v>2813</v>
      </c>
      <c r="M360" s="4" t="s">
        <v>9</v>
      </c>
      <c r="N360" s="5">
        <v>38985</v>
      </c>
      <c r="O360" s="5" t="s">
        <v>2224</v>
      </c>
      <c r="P360" s="4" t="s">
        <v>2224</v>
      </c>
      <c r="Q360" s="4" t="s">
        <v>2814</v>
      </c>
      <c r="R360" s="4" t="s">
        <v>2226</v>
      </c>
      <c r="S360" s="4" t="s">
        <v>2227</v>
      </c>
      <c r="T360" s="4" t="s">
        <v>2228</v>
      </c>
      <c r="U360" s="4" t="s">
        <v>2229</v>
      </c>
      <c r="V360" s="4" t="s">
        <v>25</v>
      </c>
      <c r="W360" s="4" t="s">
        <v>2608</v>
      </c>
      <c r="X360" s="4" t="s">
        <v>2224</v>
      </c>
      <c r="Y360" s="4" t="s">
        <v>2449</v>
      </c>
      <c r="Z360" s="6">
        <v>17112.2621</v>
      </c>
      <c r="AA360" s="6">
        <v>205347.15</v>
      </c>
      <c r="AB360" s="4" t="s">
        <v>2232</v>
      </c>
      <c r="AC360" s="7" t="s">
        <v>2224</v>
      </c>
    </row>
    <row r="361" spans="1:29" ht="15" customHeight="1" collapsed="1" thickBot="1" x14ac:dyDescent="0.3">
      <c r="A361" s="20" t="str">
        <f>CONCATENATE("28"," - ","MS", " ","Charne"," ", "Adonis")</f>
        <v>28 - MS Charne Adonis</v>
      </c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2"/>
    </row>
    <row r="362" spans="1:29" ht="15" hidden="1" customHeight="1" outlineLevel="1" thickBot="1" x14ac:dyDescent="0.3">
      <c r="A362" s="4" t="s">
        <v>2815</v>
      </c>
      <c r="B362" s="4" t="s">
        <v>616</v>
      </c>
      <c r="C362" s="4" t="s">
        <v>2220</v>
      </c>
      <c r="D362" s="5">
        <v>42962.549999999996</v>
      </c>
      <c r="E362" s="4" t="s">
        <v>2221</v>
      </c>
      <c r="F362" s="4" t="s">
        <v>2222</v>
      </c>
      <c r="G362" s="4" t="s">
        <v>813</v>
      </c>
      <c r="H362" s="4" t="s">
        <v>743</v>
      </c>
      <c r="I362" s="4" t="s">
        <v>1899</v>
      </c>
      <c r="J362" s="4" t="s">
        <v>1929</v>
      </c>
      <c r="K362" s="5">
        <v>34307</v>
      </c>
      <c r="L362" s="4" t="s">
        <v>2816</v>
      </c>
      <c r="M362" s="4" t="s">
        <v>9</v>
      </c>
      <c r="N362" s="5">
        <v>42275</v>
      </c>
      <c r="O362" s="5" t="s">
        <v>2224</v>
      </c>
      <c r="P362" s="4" t="s">
        <v>2224</v>
      </c>
      <c r="Q362" s="4" t="s">
        <v>2817</v>
      </c>
      <c r="R362" s="4" t="s">
        <v>2226</v>
      </c>
      <c r="S362" s="4" t="s">
        <v>2227</v>
      </c>
      <c r="T362" s="4" t="s">
        <v>2228</v>
      </c>
      <c r="U362" s="4" t="s">
        <v>2237</v>
      </c>
      <c r="V362" s="4" t="s">
        <v>8</v>
      </c>
      <c r="W362" s="4" t="s">
        <v>2278</v>
      </c>
      <c r="X362" s="4" t="s">
        <v>2224</v>
      </c>
      <c r="Y362" s="4" t="s">
        <v>2239</v>
      </c>
      <c r="Z362" s="6">
        <v>16081.7</v>
      </c>
      <c r="AA362" s="6">
        <v>192980.4</v>
      </c>
      <c r="AB362" s="4" t="s">
        <v>2232</v>
      </c>
      <c r="AC362" s="7" t="s">
        <v>2224</v>
      </c>
    </row>
    <row r="363" spans="1:29" ht="15" customHeight="1" collapsed="1" thickBot="1" x14ac:dyDescent="0.3">
      <c r="A363" s="20" t="str">
        <f>CONCATENATE("280"," - ","MRS", " ","Maria"," ", "Labuschagne")</f>
        <v>280 - MRS Maria Labuschagne</v>
      </c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2"/>
    </row>
    <row r="364" spans="1:29" ht="15" hidden="1" customHeight="1" outlineLevel="1" thickBot="1" x14ac:dyDescent="0.3">
      <c r="A364" s="4" t="s">
        <v>2818</v>
      </c>
      <c r="B364" s="4" t="s">
        <v>412</v>
      </c>
      <c r="C364" s="4" t="s">
        <v>2220</v>
      </c>
      <c r="D364" s="5">
        <v>42962.462500000001</v>
      </c>
      <c r="E364" s="4" t="s">
        <v>2221</v>
      </c>
      <c r="F364" s="4" t="s">
        <v>2222</v>
      </c>
      <c r="G364" s="4" t="s">
        <v>2280</v>
      </c>
      <c r="H364" s="4" t="s">
        <v>1553</v>
      </c>
      <c r="I364" s="4" t="s">
        <v>1252</v>
      </c>
      <c r="J364" s="4" t="s">
        <v>1552</v>
      </c>
      <c r="K364" s="5">
        <v>25195</v>
      </c>
      <c r="L364" s="4" t="s">
        <v>2819</v>
      </c>
      <c r="M364" s="4" t="s">
        <v>9</v>
      </c>
      <c r="N364" s="5">
        <v>41539</v>
      </c>
      <c r="O364" s="5" t="s">
        <v>2224</v>
      </c>
      <c r="P364" s="4" t="s">
        <v>2224</v>
      </c>
      <c r="Q364" s="4" t="s">
        <v>2820</v>
      </c>
      <c r="R364" s="4" t="s">
        <v>2226</v>
      </c>
      <c r="S364" s="4" t="s">
        <v>2227</v>
      </c>
      <c r="T364" s="4" t="s">
        <v>2228</v>
      </c>
      <c r="U364" s="4" t="s">
        <v>2248</v>
      </c>
      <c r="V364" s="4" t="s">
        <v>413</v>
      </c>
      <c r="W364" s="4" t="s">
        <v>2821</v>
      </c>
      <c r="X364" s="4" t="s">
        <v>2224</v>
      </c>
      <c r="Y364" s="4" t="s">
        <v>2298</v>
      </c>
      <c r="Z364" s="6">
        <v>142938</v>
      </c>
      <c r="AA364" s="6">
        <v>1715256</v>
      </c>
      <c r="AB364" s="4" t="s">
        <v>2232</v>
      </c>
      <c r="AC364" s="7" t="s">
        <v>2224</v>
      </c>
    </row>
    <row r="365" spans="1:29" ht="15" customHeight="1" collapsed="1" thickBot="1" x14ac:dyDescent="0.3">
      <c r="A365" s="20" t="str">
        <f>CONCATENATE("281"," - ","MR", " ","Chestline"," ", "Lamont")</f>
        <v>281 - MR Chestline Lamont</v>
      </c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2"/>
    </row>
    <row r="366" spans="1:29" ht="15" hidden="1" customHeight="1" outlineLevel="1" thickBot="1" x14ac:dyDescent="0.3">
      <c r="A366" s="4" t="s">
        <v>2822</v>
      </c>
      <c r="B366" s="4" t="s">
        <v>231</v>
      </c>
      <c r="C366" s="4" t="s">
        <v>2220</v>
      </c>
      <c r="D366" s="5">
        <v>42962.461805555555</v>
      </c>
      <c r="E366" s="4" t="s">
        <v>2221</v>
      </c>
      <c r="F366" s="4" t="s">
        <v>2222</v>
      </c>
      <c r="G366" s="4" t="s">
        <v>2014</v>
      </c>
      <c r="H366" s="4" t="s">
        <v>743</v>
      </c>
      <c r="I366" s="4" t="s">
        <v>1226</v>
      </c>
      <c r="J366" s="4" t="s">
        <v>1225</v>
      </c>
      <c r="K366" s="5">
        <v>28023</v>
      </c>
      <c r="L366" s="4" t="s">
        <v>2823</v>
      </c>
      <c r="M366" s="4" t="s">
        <v>9</v>
      </c>
      <c r="N366" s="5">
        <v>40299</v>
      </c>
      <c r="O366" s="5" t="s">
        <v>2224</v>
      </c>
      <c r="P366" s="4" t="s">
        <v>2224</v>
      </c>
      <c r="Q366" s="4" t="s">
        <v>2824</v>
      </c>
      <c r="R366" s="4" t="s">
        <v>2226</v>
      </c>
      <c r="S366" s="4" t="s">
        <v>2227</v>
      </c>
      <c r="T366" s="4" t="s">
        <v>2228</v>
      </c>
      <c r="U366" s="4" t="s">
        <v>2229</v>
      </c>
      <c r="V366" s="4" t="s">
        <v>17</v>
      </c>
      <c r="W366" s="4" t="s">
        <v>2230</v>
      </c>
      <c r="X366" s="4" t="s">
        <v>2224</v>
      </c>
      <c r="Y366" s="4" t="s">
        <v>2689</v>
      </c>
      <c r="Z366" s="6">
        <v>21430.874299999999</v>
      </c>
      <c r="AA366" s="6">
        <v>257170.49</v>
      </c>
      <c r="AB366" s="4" t="s">
        <v>2232</v>
      </c>
      <c r="AC366" s="7" t="s">
        <v>2224</v>
      </c>
    </row>
    <row r="367" spans="1:29" ht="15" customHeight="1" collapsed="1" thickBot="1" x14ac:dyDescent="0.3">
      <c r="A367" s="20" t="str">
        <f>CONCATENATE("282"," - ","MISS", " ","Zelda"," ", "Lawrence")</f>
        <v>282 - MISS Zelda Lawrence</v>
      </c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2"/>
    </row>
    <row r="368" spans="1:29" ht="15" hidden="1" customHeight="1" outlineLevel="1" thickBot="1" x14ac:dyDescent="0.3">
      <c r="A368" s="4" t="s">
        <v>2825</v>
      </c>
      <c r="B368" s="4" t="s">
        <v>87</v>
      </c>
      <c r="C368" s="4" t="s">
        <v>2220</v>
      </c>
      <c r="D368" s="5">
        <v>42962.461111111108</v>
      </c>
      <c r="E368" s="4" t="s">
        <v>2221</v>
      </c>
      <c r="F368" s="4" t="s">
        <v>2222</v>
      </c>
      <c r="G368" s="4" t="s">
        <v>2234</v>
      </c>
      <c r="H368" s="4" t="s">
        <v>934</v>
      </c>
      <c r="I368" s="4" t="s">
        <v>935</v>
      </c>
      <c r="J368" s="4" t="s">
        <v>933</v>
      </c>
      <c r="K368" s="5">
        <v>25813</v>
      </c>
      <c r="L368" s="4" t="s">
        <v>2826</v>
      </c>
      <c r="M368" s="4" t="s">
        <v>9</v>
      </c>
      <c r="N368" s="5">
        <v>39020</v>
      </c>
      <c r="O368" s="5" t="s">
        <v>2224</v>
      </c>
      <c r="P368" s="4" t="s">
        <v>2224</v>
      </c>
      <c r="Q368" s="4" t="s">
        <v>2827</v>
      </c>
      <c r="R368" s="4" t="s">
        <v>2226</v>
      </c>
      <c r="S368" s="4" t="s">
        <v>2227</v>
      </c>
      <c r="T368" s="4" t="s">
        <v>2228</v>
      </c>
      <c r="U368" s="4" t="s">
        <v>2229</v>
      </c>
      <c r="V368" s="4" t="s">
        <v>17</v>
      </c>
      <c r="W368" s="4" t="s">
        <v>2230</v>
      </c>
      <c r="X368" s="4" t="s">
        <v>2224</v>
      </c>
      <c r="Y368" s="4" t="s">
        <v>2380</v>
      </c>
      <c r="Z368" s="6">
        <v>21430.874299999999</v>
      </c>
      <c r="AA368" s="6">
        <v>257170.49</v>
      </c>
      <c r="AB368" s="4" t="s">
        <v>2232</v>
      </c>
      <c r="AC368" s="7" t="s">
        <v>2224</v>
      </c>
    </row>
    <row r="369" spans="1:29" ht="15" customHeight="1" collapsed="1" thickBot="1" x14ac:dyDescent="0.3">
      <c r="A369" s="20" t="str">
        <f>CONCATENATE("284"," - ","MISS", " ","Chanelle"," ", "Le Grange")</f>
        <v>284 - MISS Chanelle Le Grange</v>
      </c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2"/>
    </row>
    <row r="370" spans="1:29" ht="15" hidden="1" customHeight="1" outlineLevel="1" thickBot="1" x14ac:dyDescent="0.3">
      <c r="A370" s="4" t="s">
        <v>2828</v>
      </c>
      <c r="B370" s="4" t="s">
        <v>510</v>
      </c>
      <c r="C370" s="4" t="s">
        <v>2220</v>
      </c>
      <c r="D370" s="5">
        <v>42962.549999999996</v>
      </c>
      <c r="E370" s="4" t="s">
        <v>2221</v>
      </c>
      <c r="F370" s="4" t="s">
        <v>2222</v>
      </c>
      <c r="G370" s="4" t="s">
        <v>2234</v>
      </c>
      <c r="H370" s="4" t="s">
        <v>743</v>
      </c>
      <c r="I370" s="4" t="s">
        <v>1754</v>
      </c>
      <c r="J370" s="4" t="s">
        <v>1753</v>
      </c>
      <c r="K370" s="5">
        <v>34783</v>
      </c>
      <c r="L370" s="4" t="s">
        <v>2829</v>
      </c>
      <c r="M370" s="4" t="s">
        <v>9</v>
      </c>
      <c r="N370" s="5">
        <v>41990</v>
      </c>
      <c r="O370" s="5" t="s">
        <v>2224</v>
      </c>
      <c r="P370" s="4" t="s">
        <v>2224</v>
      </c>
      <c r="Q370" s="4" t="s">
        <v>2830</v>
      </c>
      <c r="R370" s="4" t="s">
        <v>2226</v>
      </c>
      <c r="S370" s="4" t="s">
        <v>2227</v>
      </c>
      <c r="T370" s="4" t="s">
        <v>2228</v>
      </c>
      <c r="U370" s="4" t="s">
        <v>2237</v>
      </c>
      <c r="V370" s="4" t="s">
        <v>8</v>
      </c>
      <c r="W370" s="4" t="s">
        <v>2278</v>
      </c>
      <c r="X370" s="4" t="s">
        <v>2224</v>
      </c>
      <c r="Y370" s="4" t="s">
        <v>2239</v>
      </c>
      <c r="Z370" s="6">
        <v>16486.259999999998</v>
      </c>
      <c r="AA370" s="6">
        <v>197835.12</v>
      </c>
      <c r="AB370" s="4" t="s">
        <v>2232</v>
      </c>
      <c r="AC370" s="7" t="s">
        <v>2224</v>
      </c>
    </row>
    <row r="371" spans="1:29" ht="15" customHeight="1" collapsed="1" thickBot="1" x14ac:dyDescent="0.3">
      <c r="A371" s="20" t="str">
        <f>CONCATENATE("286"," - ","MR", " ","Morne"," ", "Le Roux")</f>
        <v>286 - MR Morne Le Roux</v>
      </c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2"/>
    </row>
    <row r="372" spans="1:29" ht="15" hidden="1" customHeight="1" outlineLevel="1" thickBot="1" x14ac:dyDescent="0.3">
      <c r="A372" s="4" t="s">
        <v>2831</v>
      </c>
      <c r="B372" s="4" t="s">
        <v>210</v>
      </c>
      <c r="C372" s="4" t="s">
        <v>2220</v>
      </c>
      <c r="D372" s="5">
        <v>42963.280555555553</v>
      </c>
      <c r="E372" s="4" t="s">
        <v>2221</v>
      </c>
      <c r="F372" s="4" t="s">
        <v>2222</v>
      </c>
      <c r="G372" s="4" t="s">
        <v>2014</v>
      </c>
      <c r="H372" s="4" t="s">
        <v>1177</v>
      </c>
      <c r="I372" s="4" t="s">
        <v>1178</v>
      </c>
      <c r="J372" s="4" t="s">
        <v>1176</v>
      </c>
      <c r="K372" s="5">
        <v>27423</v>
      </c>
      <c r="L372" s="4" t="s">
        <v>2832</v>
      </c>
      <c r="M372" s="4" t="s">
        <v>9</v>
      </c>
      <c r="N372" s="5">
        <v>39769</v>
      </c>
      <c r="O372" s="5" t="s">
        <v>2224</v>
      </c>
      <c r="P372" s="4" t="s">
        <v>2224</v>
      </c>
      <c r="Q372" s="4" t="s">
        <v>2833</v>
      </c>
      <c r="R372" s="4" t="s">
        <v>2226</v>
      </c>
      <c r="S372" s="4" t="s">
        <v>2227</v>
      </c>
      <c r="T372" s="4" t="s">
        <v>2228</v>
      </c>
      <c r="U372" s="4" t="s">
        <v>2258</v>
      </c>
      <c r="V372" s="4" t="s">
        <v>13</v>
      </c>
      <c r="W372" s="4" t="s">
        <v>2249</v>
      </c>
      <c r="X372" s="4" t="s">
        <v>2224</v>
      </c>
      <c r="Y372" s="4" t="s">
        <v>2259</v>
      </c>
      <c r="Z372" s="6">
        <v>118845.6948</v>
      </c>
      <c r="AA372" s="6">
        <v>1426148.34</v>
      </c>
      <c r="AB372" s="4" t="s">
        <v>2232</v>
      </c>
      <c r="AC372" s="7" t="s">
        <v>2224</v>
      </c>
    </row>
    <row r="373" spans="1:29" ht="15" customHeight="1" collapsed="1" thickBot="1" x14ac:dyDescent="0.3">
      <c r="A373" s="20" t="str">
        <f>CONCATENATE("287"," - ","", " ","James"," ", "Leonard")</f>
        <v>287 -  James Leonard</v>
      </c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2"/>
    </row>
    <row r="374" spans="1:29" ht="15" hidden="1" customHeight="1" outlineLevel="1" thickBot="1" x14ac:dyDescent="0.3">
      <c r="A374" s="4" t="s">
        <v>2834</v>
      </c>
      <c r="B374" s="4" t="s">
        <v>681</v>
      </c>
      <c r="C374" s="4" t="s">
        <v>2220</v>
      </c>
      <c r="D374" s="5">
        <v>42963.290972222218</v>
      </c>
      <c r="E374" s="4" t="s">
        <v>2221</v>
      </c>
      <c r="F374" s="4" t="s">
        <v>2222</v>
      </c>
      <c r="G374" s="4" t="s">
        <v>2224</v>
      </c>
      <c r="H374" s="4" t="s">
        <v>2034</v>
      </c>
      <c r="I374" s="4" t="s">
        <v>2035</v>
      </c>
      <c r="J374" s="4" t="s">
        <v>2033</v>
      </c>
      <c r="K374" s="5">
        <v>27863</v>
      </c>
      <c r="L374" s="4" t="s">
        <v>2835</v>
      </c>
      <c r="M374" s="4" t="s">
        <v>9</v>
      </c>
      <c r="N374" s="5">
        <v>42506</v>
      </c>
      <c r="O374" s="5" t="s">
        <v>2224</v>
      </c>
      <c r="P374" s="4" t="s">
        <v>2224</v>
      </c>
      <c r="Q374" s="4" t="s">
        <v>2836</v>
      </c>
      <c r="R374" s="4" t="s">
        <v>2226</v>
      </c>
      <c r="S374" s="4" t="s">
        <v>2227</v>
      </c>
      <c r="T374" s="4" t="s">
        <v>2228</v>
      </c>
      <c r="U374" s="4" t="s">
        <v>2258</v>
      </c>
      <c r="V374" s="4" t="s">
        <v>246</v>
      </c>
      <c r="W374" s="4" t="s">
        <v>2249</v>
      </c>
      <c r="X374" s="4" t="s">
        <v>2224</v>
      </c>
      <c r="Y374" s="4" t="s">
        <v>2259</v>
      </c>
      <c r="Z374" s="6">
        <v>68050.454400000002</v>
      </c>
      <c r="AA374" s="6">
        <v>816605.45</v>
      </c>
      <c r="AB374" s="4" t="s">
        <v>2232</v>
      </c>
      <c r="AC374" s="7" t="s">
        <v>2224</v>
      </c>
    </row>
    <row r="375" spans="1:29" ht="15" customHeight="1" collapsed="1" thickBot="1" x14ac:dyDescent="0.3">
      <c r="A375" s="20" t="str">
        <f>CONCATENATE("288"," - ","MISS", " ","Kamogelo"," ", "Leballo")</f>
        <v>288 - MISS Kamogelo Leballo</v>
      </c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2"/>
    </row>
    <row r="376" spans="1:29" ht="15" hidden="1" customHeight="1" outlineLevel="1" thickBot="1" x14ac:dyDescent="0.3">
      <c r="A376" s="4" t="s">
        <v>2837</v>
      </c>
      <c r="B376" s="4" t="s">
        <v>674</v>
      </c>
      <c r="C376" s="4" t="s">
        <v>2220</v>
      </c>
      <c r="D376" s="5">
        <v>42962.461805555555</v>
      </c>
      <c r="E376" s="4" t="s">
        <v>2221</v>
      </c>
      <c r="F376" s="4" t="s">
        <v>2222</v>
      </c>
      <c r="G376" s="4" t="s">
        <v>2234</v>
      </c>
      <c r="H376" s="4" t="s">
        <v>2004</v>
      </c>
      <c r="I376" s="4" t="s">
        <v>2021</v>
      </c>
      <c r="J376" s="4" t="s">
        <v>2020</v>
      </c>
      <c r="K376" s="5">
        <v>33677</v>
      </c>
      <c r="L376" s="4" t="s">
        <v>2838</v>
      </c>
      <c r="M376" s="4" t="s">
        <v>9</v>
      </c>
      <c r="N376" s="5">
        <v>42475</v>
      </c>
      <c r="O376" s="5" t="s">
        <v>2224</v>
      </c>
      <c r="P376" s="4" t="s">
        <v>2224</v>
      </c>
      <c r="Q376" s="4" t="s">
        <v>2839</v>
      </c>
      <c r="R376" s="4" t="s">
        <v>2226</v>
      </c>
      <c r="S376" s="4" t="s">
        <v>2227</v>
      </c>
      <c r="T376" s="4" t="s">
        <v>2228</v>
      </c>
      <c r="U376" s="4" t="s">
        <v>2229</v>
      </c>
      <c r="V376" s="4" t="s">
        <v>25</v>
      </c>
      <c r="W376" s="4" t="s">
        <v>2278</v>
      </c>
      <c r="X376" s="4" t="s">
        <v>2224</v>
      </c>
      <c r="Y376" s="4" t="s">
        <v>2384</v>
      </c>
      <c r="Z376" s="6">
        <v>10710.15</v>
      </c>
      <c r="AA376" s="6">
        <v>128521.8</v>
      </c>
      <c r="AB376" s="4" t="s">
        <v>2232</v>
      </c>
      <c r="AC376" s="7" t="s">
        <v>2224</v>
      </c>
    </row>
    <row r="377" spans="1:29" ht="15" customHeight="1" collapsed="1" thickBot="1" x14ac:dyDescent="0.3">
      <c r="A377" s="20" t="str">
        <f>CONCATENATE("289"," - ","MISS", " ","Sedibeng"," ", "Lebethe")</f>
        <v>289 - MISS Sedibeng Lebethe</v>
      </c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2"/>
    </row>
    <row r="378" spans="1:29" ht="15" hidden="1" customHeight="1" outlineLevel="1" thickBot="1" x14ac:dyDescent="0.3">
      <c r="A378" s="4" t="s">
        <v>2840</v>
      </c>
      <c r="B378" s="4" t="s">
        <v>105</v>
      </c>
      <c r="C378" s="4" t="s">
        <v>2220</v>
      </c>
      <c r="D378" s="5">
        <v>42962.461805555555</v>
      </c>
      <c r="E378" s="4" t="s">
        <v>2221</v>
      </c>
      <c r="F378" s="4" t="s">
        <v>2222</v>
      </c>
      <c r="G378" s="4" t="s">
        <v>2234</v>
      </c>
      <c r="H378" s="4" t="s">
        <v>800</v>
      </c>
      <c r="I378" s="4" t="s">
        <v>974</v>
      </c>
      <c r="J378" s="4" t="s">
        <v>973</v>
      </c>
      <c r="K378" s="5">
        <v>29250</v>
      </c>
      <c r="L378" s="4" t="s">
        <v>2841</v>
      </c>
      <c r="M378" s="4" t="s">
        <v>9</v>
      </c>
      <c r="N378" s="5">
        <v>39022</v>
      </c>
      <c r="O378" s="5" t="s">
        <v>2224</v>
      </c>
      <c r="P378" s="4" t="s">
        <v>2224</v>
      </c>
      <c r="Q378" s="4" t="s">
        <v>2842</v>
      </c>
      <c r="R378" s="4" t="s">
        <v>2226</v>
      </c>
      <c r="S378" s="4" t="s">
        <v>2793</v>
      </c>
      <c r="T378" s="4" t="s">
        <v>2228</v>
      </c>
      <c r="U378" s="4" t="s">
        <v>2229</v>
      </c>
      <c r="V378" s="4" t="s">
        <v>17</v>
      </c>
      <c r="W378" s="4" t="s">
        <v>2230</v>
      </c>
      <c r="X378" s="4" t="s">
        <v>2224</v>
      </c>
      <c r="Y378" s="4" t="s">
        <v>2384</v>
      </c>
      <c r="Z378" s="6">
        <v>10715.43</v>
      </c>
      <c r="AA378" s="6">
        <v>128585.16</v>
      </c>
      <c r="AB378" s="4" t="s">
        <v>2232</v>
      </c>
      <c r="AC378" s="7" t="s">
        <v>2224</v>
      </c>
    </row>
    <row r="379" spans="1:29" ht="15" customHeight="1" collapsed="1" thickBot="1" x14ac:dyDescent="0.3">
      <c r="A379" s="20" t="str">
        <f>CONCATENATE("29"," - ","MR", " ","Edgar"," ", "Alexander")</f>
        <v>29 - MR Edgar Alexander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2"/>
    </row>
    <row r="380" spans="1:29" ht="15" hidden="1" customHeight="1" outlineLevel="1" thickBot="1" x14ac:dyDescent="0.3">
      <c r="A380" s="4" t="s">
        <v>2843</v>
      </c>
      <c r="B380" s="4" t="s">
        <v>581</v>
      </c>
      <c r="C380" s="4" t="s">
        <v>2220</v>
      </c>
      <c r="D380" s="5">
        <v>42962.461111111108</v>
      </c>
      <c r="E380" s="4" t="s">
        <v>2221</v>
      </c>
      <c r="F380" s="4" t="s">
        <v>2222</v>
      </c>
      <c r="G380" s="4" t="s">
        <v>2014</v>
      </c>
      <c r="H380" s="4" t="s">
        <v>816</v>
      </c>
      <c r="I380" s="4" t="s">
        <v>1662</v>
      </c>
      <c r="J380" s="4" t="s">
        <v>1585</v>
      </c>
      <c r="K380" s="5">
        <v>32540</v>
      </c>
      <c r="L380" s="4" t="s">
        <v>2844</v>
      </c>
      <c r="M380" s="4" t="s">
        <v>9</v>
      </c>
      <c r="N380" s="5">
        <v>42135</v>
      </c>
      <c r="O380" s="5" t="s">
        <v>2224</v>
      </c>
      <c r="P380" s="4" t="s">
        <v>2224</v>
      </c>
      <c r="Q380" s="4" t="s">
        <v>2845</v>
      </c>
      <c r="R380" s="4" t="s">
        <v>2226</v>
      </c>
      <c r="S380" s="4" t="s">
        <v>2227</v>
      </c>
      <c r="T380" s="4" t="s">
        <v>2228</v>
      </c>
      <c r="U380" s="4" t="s">
        <v>2229</v>
      </c>
      <c r="V380" s="4" t="s">
        <v>25</v>
      </c>
      <c r="W380" s="4" t="s">
        <v>2278</v>
      </c>
      <c r="X380" s="4" t="s">
        <v>2224</v>
      </c>
      <c r="Y380" s="4" t="s">
        <v>2380</v>
      </c>
      <c r="Z380" s="6">
        <v>10710.1538</v>
      </c>
      <c r="AA380" s="6">
        <v>128521.85</v>
      </c>
      <c r="AB380" s="4" t="s">
        <v>2232</v>
      </c>
      <c r="AC380" s="7" t="s">
        <v>2224</v>
      </c>
    </row>
    <row r="381" spans="1:29" ht="15" customHeight="1" collapsed="1" thickBot="1" x14ac:dyDescent="0.3">
      <c r="A381" s="20" t="str">
        <f>CONCATENATE("290"," - ","MISS", " ","Caroline"," ", "Lebona")</f>
        <v>290 - MISS Caroline Lebona</v>
      </c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2"/>
    </row>
    <row r="382" spans="1:29" ht="15" hidden="1" customHeight="1" outlineLevel="1" thickBot="1" x14ac:dyDescent="0.3">
      <c r="A382" s="4" t="s">
        <v>2846</v>
      </c>
      <c r="B382" s="4" t="s">
        <v>226</v>
      </c>
      <c r="C382" s="4" t="s">
        <v>2220</v>
      </c>
      <c r="D382" s="5">
        <v>42962.461111111108</v>
      </c>
      <c r="E382" s="4" t="s">
        <v>2221</v>
      </c>
      <c r="F382" s="4" t="s">
        <v>2222</v>
      </c>
      <c r="G382" s="4" t="s">
        <v>2234</v>
      </c>
      <c r="H382" s="4" t="s">
        <v>1182</v>
      </c>
      <c r="I382" s="4" t="s">
        <v>1214</v>
      </c>
      <c r="J382" s="4" t="s">
        <v>1213</v>
      </c>
      <c r="K382" s="5">
        <v>29712</v>
      </c>
      <c r="L382" s="4" t="s">
        <v>2847</v>
      </c>
      <c r="M382" s="4" t="s">
        <v>9</v>
      </c>
      <c r="N382" s="5">
        <v>40299</v>
      </c>
      <c r="O382" s="5" t="s">
        <v>2224</v>
      </c>
      <c r="P382" s="4" t="s">
        <v>2224</v>
      </c>
      <c r="Q382" s="4" t="s">
        <v>2848</v>
      </c>
      <c r="R382" s="4" t="s">
        <v>2226</v>
      </c>
      <c r="S382" s="4" t="s">
        <v>2227</v>
      </c>
      <c r="T382" s="4" t="s">
        <v>2228</v>
      </c>
      <c r="U382" s="4" t="s">
        <v>2229</v>
      </c>
      <c r="V382" s="4" t="s">
        <v>25</v>
      </c>
      <c r="W382" s="4" t="s">
        <v>2278</v>
      </c>
      <c r="X382" s="4" t="s">
        <v>2224</v>
      </c>
      <c r="Y382" s="4" t="s">
        <v>2380</v>
      </c>
      <c r="Z382" s="6">
        <v>17112.251499999998</v>
      </c>
      <c r="AA382" s="6">
        <v>205347.02</v>
      </c>
      <c r="AB382" s="4" t="s">
        <v>2232</v>
      </c>
      <c r="AC382" s="7" t="s">
        <v>2224</v>
      </c>
    </row>
    <row r="383" spans="1:29" ht="15" customHeight="1" collapsed="1" thickBot="1" x14ac:dyDescent="0.3">
      <c r="A383" s="20" t="str">
        <f>CONCATENATE("291"," - ","MR", " ","Letshego"," ", "Leepile")</f>
        <v>291 - MR Letshego Leepile</v>
      </c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2"/>
    </row>
    <row r="384" spans="1:29" ht="15" hidden="1" customHeight="1" outlineLevel="1" thickBot="1" x14ac:dyDescent="0.3">
      <c r="A384" s="4" t="s">
        <v>2849</v>
      </c>
      <c r="B384" s="4" t="s">
        <v>587</v>
      </c>
      <c r="C384" s="4" t="s">
        <v>2220</v>
      </c>
      <c r="D384" s="5">
        <v>42962.461111111108</v>
      </c>
      <c r="E384" s="4" t="s">
        <v>2221</v>
      </c>
      <c r="F384" s="4" t="s">
        <v>2222</v>
      </c>
      <c r="G384" s="4" t="s">
        <v>2014</v>
      </c>
      <c r="H384" s="4" t="s">
        <v>878</v>
      </c>
      <c r="I384" s="4" t="s">
        <v>1889</v>
      </c>
      <c r="J384" s="4" t="s">
        <v>1888</v>
      </c>
      <c r="K384" s="5">
        <v>33407</v>
      </c>
      <c r="L384" s="4" t="s">
        <v>2850</v>
      </c>
      <c r="M384" s="4" t="s">
        <v>9</v>
      </c>
      <c r="N384" s="5">
        <v>42137</v>
      </c>
      <c r="O384" s="5" t="s">
        <v>2224</v>
      </c>
      <c r="P384" s="4" t="s">
        <v>2224</v>
      </c>
      <c r="Q384" s="4" t="s">
        <v>2851</v>
      </c>
      <c r="R384" s="4" t="s">
        <v>2226</v>
      </c>
      <c r="S384" s="4" t="s">
        <v>2227</v>
      </c>
      <c r="T384" s="4" t="s">
        <v>2228</v>
      </c>
      <c r="U384" s="4" t="s">
        <v>2229</v>
      </c>
      <c r="V384" s="4" t="s">
        <v>25</v>
      </c>
      <c r="W384" s="4" t="s">
        <v>2278</v>
      </c>
      <c r="X384" s="4" t="s">
        <v>2224</v>
      </c>
      <c r="Y384" s="4" t="s">
        <v>2423</v>
      </c>
      <c r="Z384" s="6">
        <v>5355.0716000000002</v>
      </c>
      <c r="AA384" s="6">
        <v>64260.86</v>
      </c>
      <c r="AB384" s="4" t="s">
        <v>2232</v>
      </c>
      <c r="AC384" s="7" t="s">
        <v>2224</v>
      </c>
    </row>
    <row r="385" spans="1:29" ht="15" customHeight="1" collapsed="1" thickBot="1" x14ac:dyDescent="0.3">
      <c r="A385" s="20" t="str">
        <f>CONCATENATE("292"," - ","MISS", " ","Nompumelelo"," ", "Legwale")</f>
        <v>292 - MISS Nompumelelo Legwale</v>
      </c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2"/>
    </row>
    <row r="386" spans="1:29" ht="15" hidden="1" customHeight="1" outlineLevel="1" thickBot="1" x14ac:dyDescent="0.3">
      <c r="A386" s="4" t="s">
        <v>2852</v>
      </c>
      <c r="B386" s="4" t="s">
        <v>541</v>
      </c>
      <c r="C386" s="4" t="s">
        <v>2220</v>
      </c>
      <c r="D386" s="5">
        <v>42962.549999999996</v>
      </c>
      <c r="E386" s="4" t="s">
        <v>2221</v>
      </c>
      <c r="F386" s="4" t="s">
        <v>2222</v>
      </c>
      <c r="G386" s="4" t="s">
        <v>2234</v>
      </c>
      <c r="H386" s="4" t="s">
        <v>797</v>
      </c>
      <c r="I386" s="4" t="s">
        <v>1324</v>
      </c>
      <c r="J386" s="4" t="s">
        <v>1808</v>
      </c>
      <c r="K386" s="5">
        <v>33365</v>
      </c>
      <c r="L386" s="4" t="s">
        <v>2853</v>
      </c>
      <c r="M386" s="4" t="s">
        <v>9</v>
      </c>
      <c r="N386" s="5">
        <v>42072</v>
      </c>
      <c r="O386" s="5" t="s">
        <v>2224</v>
      </c>
      <c r="P386" s="4" t="s">
        <v>2224</v>
      </c>
      <c r="Q386" s="4" t="s">
        <v>2854</v>
      </c>
      <c r="R386" s="4" t="s">
        <v>2226</v>
      </c>
      <c r="S386" s="4" t="s">
        <v>2227</v>
      </c>
      <c r="T386" s="4" t="s">
        <v>2228</v>
      </c>
      <c r="U386" s="4" t="s">
        <v>2237</v>
      </c>
      <c r="V386" s="4" t="s">
        <v>8</v>
      </c>
      <c r="W386" s="4" t="s">
        <v>2278</v>
      </c>
      <c r="X386" s="4" t="s">
        <v>2224</v>
      </c>
      <c r="Y386" s="4" t="s">
        <v>2239</v>
      </c>
      <c r="Z386" s="6">
        <v>16081.7</v>
      </c>
      <c r="AA386" s="6">
        <v>192980.4</v>
      </c>
      <c r="AB386" s="4" t="s">
        <v>2224</v>
      </c>
      <c r="AC386" s="7" t="s">
        <v>2224</v>
      </c>
    </row>
    <row r="387" spans="1:29" ht="15" customHeight="1" collapsed="1" thickBot="1" x14ac:dyDescent="0.3">
      <c r="A387" s="20" t="str">
        <f>CONCATENATE("293"," - ","MR", " ","Kgotso"," ", "Lekgela")</f>
        <v>293 - MR Kgotso Lekgela</v>
      </c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2"/>
    </row>
    <row r="388" spans="1:29" ht="15" hidden="1" customHeight="1" outlineLevel="1" thickBot="1" x14ac:dyDescent="0.3">
      <c r="A388" s="4" t="s">
        <v>2855</v>
      </c>
      <c r="B388" s="4" t="s">
        <v>666</v>
      </c>
      <c r="C388" s="4" t="s">
        <v>2220</v>
      </c>
      <c r="D388" s="5">
        <v>42962.461111111108</v>
      </c>
      <c r="E388" s="4" t="s">
        <v>2221</v>
      </c>
      <c r="F388" s="4" t="s">
        <v>2222</v>
      </c>
      <c r="G388" s="4" t="s">
        <v>2014</v>
      </c>
      <c r="H388" s="4" t="s">
        <v>2004</v>
      </c>
      <c r="I388" s="4" t="s">
        <v>2005</v>
      </c>
      <c r="J388" s="4" t="s">
        <v>2003</v>
      </c>
      <c r="K388" s="5">
        <v>33570</v>
      </c>
      <c r="L388" s="4" t="s">
        <v>2856</v>
      </c>
      <c r="M388" s="4" t="s">
        <v>9</v>
      </c>
      <c r="N388" s="5">
        <v>42436</v>
      </c>
      <c r="O388" s="5" t="s">
        <v>2224</v>
      </c>
      <c r="P388" s="4" t="s">
        <v>2224</v>
      </c>
      <c r="Q388" s="4" t="s">
        <v>2857</v>
      </c>
      <c r="R388" s="4" t="s">
        <v>2226</v>
      </c>
      <c r="S388" s="4" t="s">
        <v>2227</v>
      </c>
      <c r="T388" s="4" t="s">
        <v>2228</v>
      </c>
      <c r="U388" s="4" t="s">
        <v>2229</v>
      </c>
      <c r="V388" s="4" t="s">
        <v>25</v>
      </c>
      <c r="W388" s="4" t="s">
        <v>2278</v>
      </c>
      <c r="X388" s="4" t="s">
        <v>2224</v>
      </c>
      <c r="Y388" s="4" t="s">
        <v>2423</v>
      </c>
      <c r="Z388" s="6">
        <v>5288.9706999999999</v>
      </c>
      <c r="AA388" s="6">
        <v>63467.65</v>
      </c>
      <c r="AB388" s="4" t="s">
        <v>2232</v>
      </c>
      <c r="AC388" s="7" t="s">
        <v>2224</v>
      </c>
    </row>
    <row r="389" spans="1:29" ht="15" customHeight="1" collapsed="1" thickBot="1" x14ac:dyDescent="0.3">
      <c r="A389" s="20" t="str">
        <f>CONCATENATE("294"," - ","MS", " ","Ntokozo"," ", "Lembede")</f>
        <v>294 - MS Ntokozo Lembede</v>
      </c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2"/>
    </row>
    <row r="390" spans="1:29" ht="15" hidden="1" customHeight="1" outlineLevel="1" thickBot="1" x14ac:dyDescent="0.3">
      <c r="A390" s="4" t="s">
        <v>2858</v>
      </c>
      <c r="B390" s="4" t="s">
        <v>635</v>
      </c>
      <c r="C390" s="4" t="s">
        <v>2220</v>
      </c>
      <c r="D390" s="5">
        <v>42962.549999999996</v>
      </c>
      <c r="E390" s="4" t="s">
        <v>2221</v>
      </c>
      <c r="F390" s="4" t="s">
        <v>2222</v>
      </c>
      <c r="G390" s="4" t="s">
        <v>813</v>
      </c>
      <c r="H390" s="4" t="s">
        <v>797</v>
      </c>
      <c r="I390" s="4" t="s">
        <v>1204</v>
      </c>
      <c r="J390" s="4" t="s">
        <v>1958</v>
      </c>
      <c r="K390" s="5">
        <v>34305</v>
      </c>
      <c r="L390" s="4" t="s">
        <v>2859</v>
      </c>
      <c r="M390" s="4" t="s">
        <v>9</v>
      </c>
      <c r="N390" s="5">
        <v>42317</v>
      </c>
      <c r="O390" s="5" t="s">
        <v>2224</v>
      </c>
      <c r="P390" s="4" t="s">
        <v>2224</v>
      </c>
      <c r="Q390" s="4" t="s">
        <v>2860</v>
      </c>
      <c r="R390" s="4" t="s">
        <v>2226</v>
      </c>
      <c r="S390" s="4" t="s">
        <v>2227</v>
      </c>
      <c r="T390" s="4" t="s">
        <v>2228</v>
      </c>
      <c r="U390" s="4" t="s">
        <v>2237</v>
      </c>
      <c r="V390" s="4" t="s">
        <v>125</v>
      </c>
      <c r="W390" s="4" t="s">
        <v>2278</v>
      </c>
      <c r="X390" s="4" t="s">
        <v>2224</v>
      </c>
      <c r="Y390" s="4" t="s">
        <v>2239</v>
      </c>
      <c r="Z390" s="6">
        <v>16081.7</v>
      </c>
      <c r="AA390" s="6">
        <v>192980.4</v>
      </c>
      <c r="AB390" s="4" t="s">
        <v>2232</v>
      </c>
      <c r="AC390" s="7" t="s">
        <v>2224</v>
      </c>
    </row>
    <row r="391" spans="1:29" ht="15" customHeight="1" collapsed="1" thickBot="1" x14ac:dyDescent="0.3">
      <c r="A391" s="20" t="str">
        <f>CONCATENATE("295"," - ","MR", " ","David"," ", "Lentle")</f>
        <v>295 - MR David Lentle</v>
      </c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2"/>
    </row>
    <row r="392" spans="1:29" ht="15" hidden="1" customHeight="1" outlineLevel="1" thickBot="1" x14ac:dyDescent="0.3">
      <c r="A392" s="4" t="s">
        <v>2861</v>
      </c>
      <c r="B392" s="4" t="s">
        <v>389</v>
      </c>
      <c r="C392" s="4" t="s">
        <v>2220</v>
      </c>
      <c r="D392" s="5">
        <v>42963.286805555552</v>
      </c>
      <c r="E392" s="4" t="s">
        <v>2221</v>
      </c>
      <c r="F392" s="4" t="s">
        <v>2222</v>
      </c>
      <c r="G392" s="4" t="s">
        <v>2014</v>
      </c>
      <c r="H392" s="4" t="s">
        <v>1187</v>
      </c>
      <c r="I392" s="4" t="s">
        <v>1249</v>
      </c>
      <c r="J392" s="4" t="s">
        <v>1505</v>
      </c>
      <c r="K392" s="5">
        <v>28867</v>
      </c>
      <c r="L392" s="4" t="s">
        <v>2862</v>
      </c>
      <c r="M392" s="4" t="s">
        <v>9</v>
      </c>
      <c r="N392" s="5">
        <v>41487</v>
      </c>
      <c r="O392" s="5" t="s">
        <v>2224</v>
      </c>
      <c r="P392" s="4" t="s">
        <v>2224</v>
      </c>
      <c r="Q392" s="4" t="s">
        <v>2863</v>
      </c>
      <c r="R392" s="4" t="s">
        <v>2226</v>
      </c>
      <c r="S392" s="4" t="s">
        <v>2227</v>
      </c>
      <c r="T392" s="4" t="s">
        <v>2228</v>
      </c>
      <c r="U392" s="4" t="s">
        <v>2258</v>
      </c>
      <c r="V392" s="4" t="s">
        <v>13</v>
      </c>
      <c r="W392" s="4" t="s">
        <v>2249</v>
      </c>
      <c r="X392" s="4" t="s">
        <v>2224</v>
      </c>
      <c r="Y392" s="4" t="s">
        <v>2259</v>
      </c>
      <c r="Z392" s="6">
        <v>109795.0572</v>
      </c>
      <c r="AA392" s="6">
        <v>1317540.69</v>
      </c>
      <c r="AB392" s="4" t="s">
        <v>2232</v>
      </c>
      <c r="AC392" s="7" t="s">
        <v>2224</v>
      </c>
    </row>
    <row r="393" spans="1:29" ht="15" customHeight="1" collapsed="1" thickBot="1" x14ac:dyDescent="0.3">
      <c r="A393" s="20" t="str">
        <f>CONCATENATE("296"," - ","MISS", " ","Nthabeleng"," ", "Letoporo")</f>
        <v>296 - MISS Nthabeleng Letoporo</v>
      </c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2"/>
    </row>
    <row r="394" spans="1:29" ht="15" hidden="1" customHeight="1" outlineLevel="1" thickBot="1" x14ac:dyDescent="0.3">
      <c r="A394" s="4" t="s">
        <v>2864</v>
      </c>
      <c r="B394" s="4" t="s">
        <v>285</v>
      </c>
      <c r="C394" s="4" t="s">
        <v>2220</v>
      </c>
      <c r="D394" s="5">
        <v>42962.461805555555</v>
      </c>
      <c r="E394" s="4" t="s">
        <v>2221</v>
      </c>
      <c r="F394" s="4" t="s">
        <v>2222</v>
      </c>
      <c r="G394" s="4" t="s">
        <v>2234</v>
      </c>
      <c r="H394" s="4" t="s">
        <v>1244</v>
      </c>
      <c r="I394" s="4" t="s">
        <v>1322</v>
      </c>
      <c r="J394" s="4" t="s">
        <v>1321</v>
      </c>
      <c r="K394" s="5">
        <v>28938</v>
      </c>
      <c r="L394" s="4" t="s">
        <v>2865</v>
      </c>
      <c r="M394" s="4" t="s">
        <v>9</v>
      </c>
      <c r="N394" s="5">
        <v>40832</v>
      </c>
      <c r="O394" s="5" t="s">
        <v>2224</v>
      </c>
      <c r="P394" s="4" t="s">
        <v>2224</v>
      </c>
      <c r="Q394" s="4" t="s">
        <v>2866</v>
      </c>
      <c r="R394" s="4" t="s">
        <v>2226</v>
      </c>
      <c r="S394" s="4" t="s">
        <v>2227</v>
      </c>
      <c r="T394" s="4" t="s">
        <v>2228</v>
      </c>
      <c r="U394" s="4" t="s">
        <v>2229</v>
      </c>
      <c r="V394" s="4" t="s">
        <v>25</v>
      </c>
      <c r="W394" s="4" t="s">
        <v>2278</v>
      </c>
      <c r="X394" s="4" t="s">
        <v>2224</v>
      </c>
      <c r="Y394" s="4" t="s">
        <v>2449</v>
      </c>
      <c r="Z394" s="6">
        <v>16692.331399999999</v>
      </c>
      <c r="AA394" s="6">
        <v>200307.98</v>
      </c>
      <c r="AB394" s="4" t="s">
        <v>2232</v>
      </c>
      <c r="AC394" s="7" t="s">
        <v>2224</v>
      </c>
    </row>
    <row r="395" spans="1:29" ht="15" customHeight="1" collapsed="1" thickBot="1" x14ac:dyDescent="0.3">
      <c r="A395" s="20" t="str">
        <f>CONCATENATE("297"," - ","MISS", " ","Diagracia"," ", "Letsie")</f>
        <v>297 - MISS Diagracia Letsie</v>
      </c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2"/>
    </row>
    <row r="396" spans="1:29" ht="15" hidden="1" customHeight="1" outlineLevel="1" thickBot="1" x14ac:dyDescent="0.3">
      <c r="A396" s="4" t="s">
        <v>2867</v>
      </c>
      <c r="B396" s="4" t="s">
        <v>309</v>
      </c>
      <c r="C396" s="4" t="s">
        <v>2220</v>
      </c>
      <c r="D396" s="5">
        <v>42962.549999999996</v>
      </c>
      <c r="E396" s="4" t="s">
        <v>2221</v>
      </c>
      <c r="F396" s="4" t="s">
        <v>2222</v>
      </c>
      <c r="G396" s="4" t="s">
        <v>2234</v>
      </c>
      <c r="H396" s="4" t="s">
        <v>1187</v>
      </c>
      <c r="I396" s="4" t="s">
        <v>1362</v>
      </c>
      <c r="J396" s="4" t="s">
        <v>1361</v>
      </c>
      <c r="K396" s="5">
        <v>28026</v>
      </c>
      <c r="L396" s="4" t="s">
        <v>2868</v>
      </c>
      <c r="M396" s="4" t="s">
        <v>9</v>
      </c>
      <c r="N396" s="5">
        <v>41092</v>
      </c>
      <c r="O396" s="5" t="s">
        <v>2224</v>
      </c>
      <c r="P396" s="4" t="s">
        <v>2224</v>
      </c>
      <c r="Q396" s="4" t="s">
        <v>2857</v>
      </c>
      <c r="R396" s="4" t="s">
        <v>2226</v>
      </c>
      <c r="S396" s="4" t="s">
        <v>2227</v>
      </c>
      <c r="T396" s="4" t="s">
        <v>2228</v>
      </c>
      <c r="U396" s="4" t="s">
        <v>2237</v>
      </c>
      <c r="V396" s="4" t="s">
        <v>125</v>
      </c>
      <c r="W396" s="4" t="s">
        <v>2230</v>
      </c>
      <c r="X396" s="4" t="s">
        <v>2224</v>
      </c>
      <c r="Y396" s="4" t="s">
        <v>2239</v>
      </c>
      <c r="Z396" s="6">
        <v>20904.989600000001</v>
      </c>
      <c r="AA396" s="6">
        <v>250859.88</v>
      </c>
      <c r="AB396" s="4" t="s">
        <v>2232</v>
      </c>
      <c r="AC396" s="7" t="s">
        <v>2224</v>
      </c>
    </row>
    <row r="397" spans="1:29" ht="15" customHeight="1" collapsed="1" thickBot="1" x14ac:dyDescent="0.3">
      <c r="A397" s="20" t="str">
        <f>CONCATENATE("299"," - ","MR", " ","Selwyn"," ", "Levin")</f>
        <v>299 - MR Selwyn Levin</v>
      </c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2"/>
    </row>
    <row r="398" spans="1:29" ht="15" hidden="1" customHeight="1" outlineLevel="1" thickBot="1" x14ac:dyDescent="0.3">
      <c r="A398" s="4" t="s">
        <v>2869</v>
      </c>
      <c r="B398" s="4" t="s">
        <v>221</v>
      </c>
      <c r="C398" s="4" t="s">
        <v>2220</v>
      </c>
      <c r="D398" s="5">
        <v>42963.280555555553</v>
      </c>
      <c r="E398" s="4" t="s">
        <v>2221</v>
      </c>
      <c r="F398" s="4" t="s">
        <v>2222</v>
      </c>
      <c r="G398" s="4" t="s">
        <v>2014</v>
      </c>
      <c r="H398" s="4" t="s">
        <v>800</v>
      </c>
      <c r="I398" s="4" t="s">
        <v>1201</v>
      </c>
      <c r="J398" s="4" t="s">
        <v>1200</v>
      </c>
      <c r="K398" s="5">
        <v>17074</v>
      </c>
      <c r="L398" s="4" t="s">
        <v>2870</v>
      </c>
      <c r="M398" s="4" t="s">
        <v>9</v>
      </c>
      <c r="N398" s="5">
        <v>40321</v>
      </c>
      <c r="O398" s="5" t="s">
        <v>2224</v>
      </c>
      <c r="P398" s="4" t="s">
        <v>2224</v>
      </c>
      <c r="Q398" s="4" t="s">
        <v>2871</v>
      </c>
      <c r="R398" s="4" t="s">
        <v>2226</v>
      </c>
      <c r="S398" s="4" t="s">
        <v>2227</v>
      </c>
      <c r="T398" s="4" t="s">
        <v>2228</v>
      </c>
      <c r="U398" s="4" t="s">
        <v>2258</v>
      </c>
      <c r="V398" s="4" t="s">
        <v>198</v>
      </c>
      <c r="W398" s="4" t="s">
        <v>2249</v>
      </c>
      <c r="X398" s="4" t="s">
        <v>2224</v>
      </c>
      <c r="Y398" s="4" t="s">
        <v>2259</v>
      </c>
      <c r="Z398" s="6">
        <v>145467.13320000001</v>
      </c>
      <c r="AA398" s="6">
        <v>1745605.6</v>
      </c>
      <c r="AB398" s="4" t="s">
        <v>2232</v>
      </c>
      <c r="AC398" s="7" t="s">
        <v>2224</v>
      </c>
    </row>
    <row r="399" spans="1:29" ht="15" customHeight="1" collapsed="1" thickBot="1" x14ac:dyDescent="0.3">
      <c r="A399" s="20" t="str">
        <f>CONCATENATE("30"," - ","MISS", " ","Kimberly"," ", "Alexander")</f>
        <v>30 - MISS Kimberly Alexander</v>
      </c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2"/>
    </row>
    <row r="400" spans="1:29" ht="15" hidden="1" customHeight="1" outlineLevel="1" thickBot="1" x14ac:dyDescent="0.3">
      <c r="A400" s="4" t="s">
        <v>2872</v>
      </c>
      <c r="B400" s="4" t="s">
        <v>429</v>
      </c>
      <c r="C400" s="4" t="s">
        <v>2220</v>
      </c>
      <c r="D400" s="5">
        <v>42962.549999999996</v>
      </c>
      <c r="E400" s="4" t="s">
        <v>2221</v>
      </c>
      <c r="F400" s="4" t="s">
        <v>2222</v>
      </c>
      <c r="G400" s="4" t="s">
        <v>2234</v>
      </c>
      <c r="H400" s="4" t="s">
        <v>1425</v>
      </c>
      <c r="I400" s="4" t="s">
        <v>1586</v>
      </c>
      <c r="J400" s="4" t="s">
        <v>1585</v>
      </c>
      <c r="K400" s="5">
        <v>34182</v>
      </c>
      <c r="L400" s="4" t="s">
        <v>2873</v>
      </c>
      <c r="M400" s="4" t="s">
        <v>9</v>
      </c>
      <c r="N400" s="5">
        <v>41568</v>
      </c>
      <c r="O400" s="5" t="s">
        <v>2224</v>
      </c>
      <c r="P400" s="4" t="s">
        <v>2224</v>
      </c>
      <c r="Q400" s="4" t="s">
        <v>2874</v>
      </c>
      <c r="R400" s="4" t="s">
        <v>2226</v>
      </c>
      <c r="S400" s="4" t="s">
        <v>2227</v>
      </c>
      <c r="T400" s="4" t="s">
        <v>2228</v>
      </c>
      <c r="U400" s="4" t="s">
        <v>2237</v>
      </c>
      <c r="V400" s="4" t="s">
        <v>8</v>
      </c>
      <c r="W400" s="4" t="s">
        <v>2278</v>
      </c>
      <c r="X400" s="4" t="s">
        <v>2224</v>
      </c>
      <c r="Y400" s="4" t="s">
        <v>2239</v>
      </c>
      <c r="Z400" s="6">
        <v>16486.259999999998</v>
      </c>
      <c r="AA400" s="6">
        <v>197835.12</v>
      </c>
      <c r="AB400" s="4" t="s">
        <v>2232</v>
      </c>
      <c r="AC400" s="7" t="s">
        <v>2224</v>
      </c>
    </row>
    <row r="401" spans="1:29" ht="15" customHeight="1" collapsed="1" thickBot="1" x14ac:dyDescent="0.3">
      <c r="A401" s="20" t="str">
        <f>CONCATENATE("300"," - ","MR", " ","Yinon"," ", "Levy")</f>
        <v>300 - MR Yinon Levy</v>
      </c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2"/>
    </row>
    <row r="402" spans="1:29" ht="15" hidden="1" customHeight="1" outlineLevel="1" thickBot="1" x14ac:dyDescent="0.3">
      <c r="A402" s="4" t="s">
        <v>2875</v>
      </c>
      <c r="B402" s="4" t="s">
        <v>203</v>
      </c>
      <c r="C402" s="4" t="s">
        <v>2220</v>
      </c>
      <c r="D402" s="5">
        <v>42963.279861111107</v>
      </c>
      <c r="E402" s="4" t="s">
        <v>2221</v>
      </c>
      <c r="F402" s="4" t="s">
        <v>2222</v>
      </c>
      <c r="G402" s="4" t="s">
        <v>2014</v>
      </c>
      <c r="H402" s="4" t="s">
        <v>794</v>
      </c>
      <c r="I402" s="4" t="s">
        <v>1158</v>
      </c>
      <c r="J402" s="4" t="s">
        <v>1157</v>
      </c>
      <c r="K402" s="5">
        <v>26731</v>
      </c>
      <c r="L402" s="4" t="s">
        <v>2876</v>
      </c>
      <c r="M402" s="4" t="s">
        <v>9</v>
      </c>
      <c r="N402" s="5">
        <v>39601</v>
      </c>
      <c r="O402" s="5" t="s">
        <v>2224</v>
      </c>
      <c r="P402" s="4" t="s">
        <v>2224</v>
      </c>
      <c r="Q402" s="4" t="s">
        <v>2877</v>
      </c>
      <c r="R402" s="4" t="s">
        <v>2226</v>
      </c>
      <c r="S402" s="4" t="s">
        <v>2227</v>
      </c>
      <c r="T402" s="4" t="s">
        <v>2228</v>
      </c>
      <c r="U402" s="4" t="s">
        <v>2258</v>
      </c>
      <c r="V402" s="4" t="s">
        <v>198</v>
      </c>
      <c r="W402" s="4" t="s">
        <v>2249</v>
      </c>
      <c r="X402" s="4" t="s">
        <v>2224</v>
      </c>
      <c r="Y402" s="4" t="s">
        <v>2259</v>
      </c>
      <c r="Z402" s="6">
        <v>142194.12839999999</v>
      </c>
      <c r="AA402" s="6">
        <v>1706329.54</v>
      </c>
      <c r="AB402" s="4" t="s">
        <v>2232</v>
      </c>
      <c r="AC402" s="7" t="s">
        <v>2224</v>
      </c>
    </row>
    <row r="403" spans="1:29" ht="15" customHeight="1" collapsed="1" thickBot="1" x14ac:dyDescent="0.3">
      <c r="A403" s="20" t="str">
        <f>CONCATENATE("302"," - ","MR", " ","Andre"," ", "Liebenberg")</f>
        <v>302 - MR Andre Liebenberg</v>
      </c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2"/>
    </row>
    <row r="404" spans="1:29" ht="15" hidden="1" customHeight="1" outlineLevel="1" thickBot="1" x14ac:dyDescent="0.3">
      <c r="A404" s="4" t="s">
        <v>2878</v>
      </c>
      <c r="B404" s="4" t="s">
        <v>656</v>
      </c>
      <c r="C404" s="4" t="s">
        <v>2220</v>
      </c>
      <c r="D404" s="5">
        <v>42963.289583333331</v>
      </c>
      <c r="E404" s="4" t="s">
        <v>2221</v>
      </c>
      <c r="F404" s="4" t="s">
        <v>2222</v>
      </c>
      <c r="G404" s="4" t="s">
        <v>2014</v>
      </c>
      <c r="H404" s="4" t="s">
        <v>742</v>
      </c>
      <c r="I404" s="4" t="s">
        <v>898</v>
      </c>
      <c r="J404" s="4" t="s">
        <v>1990</v>
      </c>
      <c r="K404" s="5">
        <v>29512</v>
      </c>
      <c r="L404" s="4" t="s">
        <v>2879</v>
      </c>
      <c r="M404" s="4" t="s">
        <v>9</v>
      </c>
      <c r="N404" s="5">
        <v>42370</v>
      </c>
      <c r="O404" s="5" t="s">
        <v>2224</v>
      </c>
      <c r="P404" s="4" t="s">
        <v>2224</v>
      </c>
      <c r="Q404" s="4" t="s">
        <v>2880</v>
      </c>
      <c r="R404" s="4" t="s">
        <v>2226</v>
      </c>
      <c r="S404" s="4" t="s">
        <v>2227</v>
      </c>
      <c r="T404" s="4" t="s">
        <v>2228</v>
      </c>
      <c r="U404" s="4" t="s">
        <v>2258</v>
      </c>
      <c r="V404" s="4" t="s">
        <v>246</v>
      </c>
      <c r="W404" s="4" t="s">
        <v>2249</v>
      </c>
      <c r="X404" s="4" t="s">
        <v>2224</v>
      </c>
      <c r="Y404" s="4" t="s">
        <v>2259</v>
      </c>
      <c r="Z404" s="6">
        <v>68050.454400000002</v>
      </c>
      <c r="AA404" s="6">
        <v>816605.45</v>
      </c>
      <c r="AB404" s="4" t="s">
        <v>2232</v>
      </c>
      <c r="AC404" s="7" t="s">
        <v>2224</v>
      </c>
    </row>
    <row r="405" spans="1:29" ht="15" customHeight="1" collapsed="1" thickBot="1" x14ac:dyDescent="0.3">
      <c r="A405" s="20" t="str">
        <f>CONCATENATE("303"," - ","MR", " ","Anthony"," ", "Liebenberg")</f>
        <v>303 - MR Anthony Liebenberg</v>
      </c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2"/>
    </row>
    <row r="406" spans="1:29" ht="15" hidden="1" customHeight="1" outlineLevel="1" thickBot="1" x14ac:dyDescent="0.3">
      <c r="A406" s="4" t="s">
        <v>2881</v>
      </c>
      <c r="B406" s="4" t="s">
        <v>655</v>
      </c>
      <c r="C406" s="4" t="s">
        <v>2220</v>
      </c>
      <c r="D406" s="5">
        <v>42963.289583333331</v>
      </c>
      <c r="E406" s="4" t="s">
        <v>2221</v>
      </c>
      <c r="F406" s="4" t="s">
        <v>2222</v>
      </c>
      <c r="G406" s="4" t="s">
        <v>2014</v>
      </c>
      <c r="H406" s="4" t="s">
        <v>742</v>
      </c>
      <c r="I406" s="4" t="s">
        <v>1897</v>
      </c>
      <c r="J406" s="4" t="s">
        <v>1990</v>
      </c>
      <c r="K406" s="5">
        <v>29980</v>
      </c>
      <c r="L406" s="4" t="s">
        <v>2882</v>
      </c>
      <c r="M406" s="4" t="s">
        <v>9</v>
      </c>
      <c r="N406" s="5">
        <v>42370</v>
      </c>
      <c r="O406" s="5" t="s">
        <v>2224</v>
      </c>
      <c r="P406" s="4" t="s">
        <v>2224</v>
      </c>
      <c r="Q406" s="4" t="s">
        <v>2883</v>
      </c>
      <c r="R406" s="4" t="s">
        <v>2226</v>
      </c>
      <c r="S406" s="4" t="s">
        <v>2227</v>
      </c>
      <c r="T406" s="4" t="s">
        <v>2228</v>
      </c>
      <c r="U406" s="4" t="s">
        <v>2258</v>
      </c>
      <c r="V406" s="4" t="s">
        <v>246</v>
      </c>
      <c r="W406" s="4" t="s">
        <v>2249</v>
      </c>
      <c r="X406" s="4" t="s">
        <v>2224</v>
      </c>
      <c r="Y406" s="4" t="s">
        <v>2259</v>
      </c>
      <c r="Z406" s="6">
        <v>68050.454400000002</v>
      </c>
      <c r="AA406" s="6">
        <v>816605.45</v>
      </c>
      <c r="AB406" s="4" t="s">
        <v>2232</v>
      </c>
      <c r="AC406" s="7" t="s">
        <v>2224</v>
      </c>
    </row>
    <row r="407" spans="1:29" ht="15" customHeight="1" collapsed="1" thickBot="1" x14ac:dyDescent="0.3">
      <c r="A407" s="20" t="str">
        <f>CONCATENATE("304"," - ","MRS", " ","Zamile"," ", "Likhaba")</f>
        <v>304 - MRS Zamile Likhaba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2"/>
    </row>
    <row r="408" spans="1:29" ht="15" hidden="1" customHeight="1" outlineLevel="1" thickBot="1" x14ac:dyDescent="0.3">
      <c r="A408" s="4" t="s">
        <v>2884</v>
      </c>
      <c r="B408" s="4" t="s">
        <v>190</v>
      </c>
      <c r="C408" s="4" t="s">
        <v>2220</v>
      </c>
      <c r="D408" s="5">
        <v>42962.462500000001</v>
      </c>
      <c r="E408" s="4" t="s">
        <v>2221</v>
      </c>
      <c r="F408" s="4" t="s">
        <v>2222</v>
      </c>
      <c r="G408" s="4" t="s">
        <v>2280</v>
      </c>
      <c r="H408" s="4" t="s">
        <v>934</v>
      </c>
      <c r="I408" s="4" t="s">
        <v>1135</v>
      </c>
      <c r="J408" s="4" t="s">
        <v>1134</v>
      </c>
      <c r="K408" s="5">
        <v>30068</v>
      </c>
      <c r="L408" s="4" t="s">
        <v>2885</v>
      </c>
      <c r="M408" s="4" t="s">
        <v>9</v>
      </c>
      <c r="N408" s="5">
        <v>39508</v>
      </c>
      <c r="O408" s="5" t="s">
        <v>2224</v>
      </c>
      <c r="P408" s="4" t="s">
        <v>2224</v>
      </c>
      <c r="Q408" s="4" t="s">
        <v>2886</v>
      </c>
      <c r="R408" s="4" t="s">
        <v>2226</v>
      </c>
      <c r="S408" s="4" t="s">
        <v>2227</v>
      </c>
      <c r="T408" s="4" t="s">
        <v>2228</v>
      </c>
      <c r="U408" s="4" t="s">
        <v>2248</v>
      </c>
      <c r="V408" s="4" t="s">
        <v>191</v>
      </c>
      <c r="W408" s="4" t="s">
        <v>2249</v>
      </c>
      <c r="X408" s="4" t="s">
        <v>2224</v>
      </c>
      <c r="Y408" s="4" t="s">
        <v>2887</v>
      </c>
      <c r="Z408" s="6">
        <v>38447.9185</v>
      </c>
      <c r="AA408" s="6">
        <v>461375.02</v>
      </c>
      <c r="AB408" s="4" t="s">
        <v>2232</v>
      </c>
      <c r="AC408" s="7" t="s">
        <v>2224</v>
      </c>
    </row>
    <row r="409" spans="1:29" ht="15" customHeight="1" collapsed="1" thickBot="1" x14ac:dyDescent="0.3">
      <c r="A409" s="20" t="str">
        <f>CONCATENATE("305"," - ","MR", " ","Kevin"," ", "Lindeboom")</f>
        <v>305 - MR Kevin Lindeboom</v>
      </c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2"/>
    </row>
    <row r="410" spans="1:29" ht="15" hidden="1" customHeight="1" outlineLevel="1" thickBot="1" x14ac:dyDescent="0.3">
      <c r="A410" s="4" t="s">
        <v>2888</v>
      </c>
      <c r="B410" s="4" t="s">
        <v>290</v>
      </c>
      <c r="C410" s="4" t="s">
        <v>2220</v>
      </c>
      <c r="D410" s="5">
        <v>42962.549999999996</v>
      </c>
      <c r="E410" s="4" t="s">
        <v>2221</v>
      </c>
      <c r="F410" s="4" t="s">
        <v>2222</v>
      </c>
      <c r="G410" s="4" t="s">
        <v>2014</v>
      </c>
      <c r="H410" s="4" t="s">
        <v>1329</v>
      </c>
      <c r="I410" s="4" t="s">
        <v>1314</v>
      </c>
      <c r="J410" s="4" t="s">
        <v>1328</v>
      </c>
      <c r="K410" s="5">
        <v>32101</v>
      </c>
      <c r="L410" s="4" t="s">
        <v>2889</v>
      </c>
      <c r="M410" s="4" t="s">
        <v>9</v>
      </c>
      <c r="N410" s="5">
        <v>40868</v>
      </c>
      <c r="O410" s="5" t="s">
        <v>2224</v>
      </c>
      <c r="P410" s="4" t="s">
        <v>2224</v>
      </c>
      <c r="Q410" s="4" t="s">
        <v>2890</v>
      </c>
      <c r="R410" s="4" t="s">
        <v>2226</v>
      </c>
      <c r="S410" s="4" t="s">
        <v>2227</v>
      </c>
      <c r="T410" s="4" t="s">
        <v>2228</v>
      </c>
      <c r="U410" s="4" t="s">
        <v>2237</v>
      </c>
      <c r="V410" s="4" t="s">
        <v>125</v>
      </c>
      <c r="W410" s="4" t="s">
        <v>2230</v>
      </c>
      <c r="X410" s="4" t="s">
        <v>2224</v>
      </c>
      <c r="Y410" s="4" t="s">
        <v>2239</v>
      </c>
      <c r="Z410" s="6">
        <v>20392</v>
      </c>
      <c r="AA410" s="6">
        <v>244704</v>
      </c>
      <c r="AB410" s="4" t="s">
        <v>2232</v>
      </c>
      <c r="AC410" s="7" t="s">
        <v>2224</v>
      </c>
    </row>
    <row r="411" spans="1:29" ht="15" customHeight="1" collapsed="1" thickBot="1" x14ac:dyDescent="0.3">
      <c r="A411" s="20" t="str">
        <f>CONCATENATE("306"," - ","MR", " ","LEBOHANG"," ", "Lisene")</f>
        <v>306 - MR LEBOHANG Lisene</v>
      </c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2"/>
    </row>
    <row r="412" spans="1:29" ht="15" hidden="1" customHeight="1" outlineLevel="1" thickBot="1" x14ac:dyDescent="0.3">
      <c r="A412" s="4" t="s">
        <v>2891</v>
      </c>
      <c r="B412" s="4" t="s">
        <v>161</v>
      </c>
      <c r="C412" s="4" t="s">
        <v>2220</v>
      </c>
      <c r="D412" s="5">
        <v>42962.461805555555</v>
      </c>
      <c r="E412" s="4" t="s">
        <v>2221</v>
      </c>
      <c r="F412" s="4" t="s">
        <v>2222</v>
      </c>
      <c r="G412" s="4" t="s">
        <v>2014</v>
      </c>
      <c r="H412" s="4" t="s">
        <v>1078</v>
      </c>
      <c r="I412" s="4" t="s">
        <v>1079</v>
      </c>
      <c r="J412" s="4" t="s">
        <v>1077</v>
      </c>
      <c r="K412" s="5">
        <v>30536</v>
      </c>
      <c r="L412" s="4" t="s">
        <v>2892</v>
      </c>
      <c r="M412" s="4" t="s">
        <v>9</v>
      </c>
      <c r="N412" s="5">
        <v>39387</v>
      </c>
      <c r="O412" s="5" t="s">
        <v>2224</v>
      </c>
      <c r="P412" s="4" t="s">
        <v>2224</v>
      </c>
      <c r="Q412" s="4" t="s">
        <v>2893</v>
      </c>
      <c r="R412" s="4" t="s">
        <v>2226</v>
      </c>
      <c r="S412" s="4" t="s">
        <v>2227</v>
      </c>
      <c r="T412" s="4" t="s">
        <v>2228</v>
      </c>
      <c r="U412" s="4" t="s">
        <v>2229</v>
      </c>
      <c r="V412" s="4" t="s">
        <v>25</v>
      </c>
      <c r="W412" s="4" t="s">
        <v>2278</v>
      </c>
      <c r="X412" s="4" t="s">
        <v>2224</v>
      </c>
      <c r="Y412" s="4" t="s">
        <v>2384</v>
      </c>
      <c r="Z412" s="6">
        <v>17112.251499999998</v>
      </c>
      <c r="AA412" s="6">
        <v>205347.02</v>
      </c>
      <c r="AB412" s="4" t="s">
        <v>2232</v>
      </c>
      <c r="AC412" s="7" t="s">
        <v>2224</v>
      </c>
    </row>
    <row r="413" spans="1:29" ht="15" customHeight="1" collapsed="1" thickBot="1" x14ac:dyDescent="0.3">
      <c r="A413" s="20" t="str">
        <f>CONCATENATE("307"," - ","MR", " ","Hendrik"," ", "Lombaard")</f>
        <v>307 - MR Hendrik Lombaard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2"/>
    </row>
    <row r="414" spans="1:29" ht="15" hidden="1" customHeight="1" outlineLevel="1" thickBot="1" x14ac:dyDescent="0.3">
      <c r="A414" s="4" t="s">
        <v>2894</v>
      </c>
      <c r="B414" s="4" t="s">
        <v>359</v>
      </c>
      <c r="C414" s="4" t="s">
        <v>2220</v>
      </c>
      <c r="D414" s="5">
        <v>42963.285416666666</v>
      </c>
      <c r="E414" s="4" t="s">
        <v>2221</v>
      </c>
      <c r="F414" s="4" t="s">
        <v>2222</v>
      </c>
      <c r="G414" s="4" t="s">
        <v>2014</v>
      </c>
      <c r="H414" s="4" t="s">
        <v>1453</v>
      </c>
      <c r="I414" s="4" t="s">
        <v>1454</v>
      </c>
      <c r="J414" s="4" t="s">
        <v>1415</v>
      </c>
      <c r="K414" s="5">
        <v>27673</v>
      </c>
      <c r="L414" s="4" t="s">
        <v>2895</v>
      </c>
      <c r="M414" s="4" t="s">
        <v>9</v>
      </c>
      <c r="N414" s="5">
        <v>41330</v>
      </c>
      <c r="O414" s="5" t="s">
        <v>2224</v>
      </c>
      <c r="P414" s="4" t="s">
        <v>2224</v>
      </c>
      <c r="Q414" s="4" t="s">
        <v>2896</v>
      </c>
      <c r="R414" s="4" t="s">
        <v>2226</v>
      </c>
      <c r="S414" s="4" t="s">
        <v>2227</v>
      </c>
      <c r="T414" s="4" t="s">
        <v>2228</v>
      </c>
      <c r="U414" s="4" t="s">
        <v>2258</v>
      </c>
      <c r="V414" s="4" t="s">
        <v>13</v>
      </c>
      <c r="W414" s="4" t="s">
        <v>2249</v>
      </c>
      <c r="X414" s="4" t="s">
        <v>2224</v>
      </c>
      <c r="Y414" s="4" t="s">
        <v>2259</v>
      </c>
      <c r="Z414" s="6">
        <v>114230.7792</v>
      </c>
      <c r="AA414" s="6">
        <v>1370769.35</v>
      </c>
      <c r="AB414" s="4" t="s">
        <v>2232</v>
      </c>
      <c r="AC414" s="7" t="s">
        <v>2224</v>
      </c>
    </row>
    <row r="415" spans="1:29" ht="15" customHeight="1" collapsed="1" thickBot="1" x14ac:dyDescent="0.3">
      <c r="A415" s="20" t="str">
        <f>CONCATENATE("308"," - ","MISS", " ","Sulette"," ", "Lombaard")</f>
        <v>308 - MISS Sulette Lombaard</v>
      </c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2"/>
    </row>
    <row r="416" spans="1:29" ht="15" hidden="1" customHeight="1" outlineLevel="1" thickBot="1" x14ac:dyDescent="0.3">
      <c r="A416" s="4" t="s">
        <v>2897</v>
      </c>
      <c r="B416" s="4" t="s">
        <v>338</v>
      </c>
      <c r="C416" s="4" t="s">
        <v>2220</v>
      </c>
      <c r="D416" s="5">
        <v>42962.549999999996</v>
      </c>
      <c r="E416" s="4" t="s">
        <v>2221</v>
      </c>
      <c r="F416" s="4" t="s">
        <v>2222</v>
      </c>
      <c r="G416" s="4" t="s">
        <v>2234</v>
      </c>
      <c r="H416" s="4" t="s">
        <v>800</v>
      </c>
      <c r="I416" s="4" t="s">
        <v>1416</v>
      </c>
      <c r="J416" s="4" t="s">
        <v>1415</v>
      </c>
      <c r="K416" s="5">
        <v>31614</v>
      </c>
      <c r="L416" s="4" t="s">
        <v>2898</v>
      </c>
      <c r="M416" s="4" t="s">
        <v>9</v>
      </c>
      <c r="N416" s="5">
        <v>41281</v>
      </c>
      <c r="O416" s="5" t="s">
        <v>2224</v>
      </c>
      <c r="P416" s="4" t="s">
        <v>2224</v>
      </c>
      <c r="Q416" s="4" t="s">
        <v>2899</v>
      </c>
      <c r="R416" s="4" t="s">
        <v>2226</v>
      </c>
      <c r="S416" s="4" t="s">
        <v>2227</v>
      </c>
      <c r="T416" s="4" t="s">
        <v>2228</v>
      </c>
      <c r="U416" s="4" t="s">
        <v>2237</v>
      </c>
      <c r="V416" s="4" t="s">
        <v>125</v>
      </c>
      <c r="W416" s="4" t="s">
        <v>2230</v>
      </c>
      <c r="X416" s="4" t="s">
        <v>2224</v>
      </c>
      <c r="Y416" s="4" t="s">
        <v>2239</v>
      </c>
      <c r="Z416" s="6">
        <v>20646.896499999999</v>
      </c>
      <c r="AA416" s="6">
        <v>247762.76</v>
      </c>
      <c r="AB416" s="4" t="s">
        <v>2232</v>
      </c>
      <c r="AC416" s="7" t="s">
        <v>2224</v>
      </c>
    </row>
    <row r="417" spans="1:29" ht="15" customHeight="1" collapsed="1" thickBot="1" x14ac:dyDescent="0.3">
      <c r="A417" s="20" t="str">
        <f>CONCATENATE("309"," - ","", " ","Robyn"," ", "Lottering")</f>
        <v>309 -  Robyn Lottering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2"/>
    </row>
    <row r="418" spans="1:29" ht="15" hidden="1" customHeight="1" outlineLevel="1" thickBot="1" x14ac:dyDescent="0.3">
      <c r="A418" s="4" t="s">
        <v>2900</v>
      </c>
      <c r="B418" s="4" t="s">
        <v>451</v>
      </c>
      <c r="C418" s="4" t="s">
        <v>2220</v>
      </c>
      <c r="D418" s="5">
        <v>42962.549999999996</v>
      </c>
      <c r="E418" s="4" t="s">
        <v>2221</v>
      </c>
      <c r="F418" s="4" t="s">
        <v>2222</v>
      </c>
      <c r="G418" s="4" t="s">
        <v>2224</v>
      </c>
      <c r="H418" s="4" t="s">
        <v>1637</v>
      </c>
      <c r="I418" s="4" t="s">
        <v>1638</v>
      </c>
      <c r="J418" s="4" t="s">
        <v>1636</v>
      </c>
      <c r="K418" s="5">
        <v>32731</v>
      </c>
      <c r="L418" s="4" t="s">
        <v>2901</v>
      </c>
      <c r="M418" s="4" t="s">
        <v>9</v>
      </c>
      <c r="N418" s="5">
        <v>41687</v>
      </c>
      <c r="O418" s="5" t="s">
        <v>2224</v>
      </c>
      <c r="P418" s="4" t="s">
        <v>2224</v>
      </c>
      <c r="Q418" s="4" t="s">
        <v>2902</v>
      </c>
      <c r="R418" s="4" t="s">
        <v>2226</v>
      </c>
      <c r="S418" s="4" t="s">
        <v>2227</v>
      </c>
      <c r="T418" s="4" t="s">
        <v>2228</v>
      </c>
      <c r="U418" s="4" t="s">
        <v>2237</v>
      </c>
      <c r="V418" s="4" t="s">
        <v>8</v>
      </c>
      <c r="W418" s="4" t="s">
        <v>2278</v>
      </c>
      <c r="X418" s="4" t="s">
        <v>2224</v>
      </c>
      <c r="Y418" s="4" t="s">
        <v>2239</v>
      </c>
      <c r="Z418" s="6">
        <v>16486.259999999998</v>
      </c>
      <c r="AA418" s="6">
        <v>197835.12</v>
      </c>
      <c r="AB418" s="4" t="s">
        <v>2232</v>
      </c>
      <c r="AC418" s="7" t="s">
        <v>2224</v>
      </c>
    </row>
    <row r="419" spans="1:29" ht="15" customHeight="1" collapsed="1" thickBot="1" x14ac:dyDescent="0.3">
      <c r="A419" s="20" t="str">
        <f>CONCATENATE("31"," - ","MR", " ","Evan"," ", "Alpert")</f>
        <v>31 - MR Evan Alpert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2"/>
    </row>
    <row r="420" spans="1:29" ht="15" hidden="1" customHeight="1" outlineLevel="1" thickBot="1" x14ac:dyDescent="0.3">
      <c r="A420" s="4" t="s">
        <v>2903</v>
      </c>
      <c r="B420" s="4" t="s">
        <v>54</v>
      </c>
      <c r="C420" s="4" t="s">
        <v>2220</v>
      </c>
      <c r="D420" s="5">
        <v>42962.527777777774</v>
      </c>
      <c r="E420" s="4" t="s">
        <v>2221</v>
      </c>
      <c r="F420" s="4" t="s">
        <v>2222</v>
      </c>
      <c r="G420" s="4" t="s">
        <v>2014</v>
      </c>
      <c r="H420" s="4" t="s">
        <v>816</v>
      </c>
      <c r="I420" s="4" t="s">
        <v>868</v>
      </c>
      <c r="J420" s="4" t="s">
        <v>867</v>
      </c>
      <c r="K420" s="5">
        <v>22683</v>
      </c>
      <c r="L420" s="4" t="s">
        <v>2904</v>
      </c>
      <c r="M420" s="4" t="s">
        <v>9</v>
      </c>
      <c r="N420" s="5">
        <v>38992</v>
      </c>
      <c r="O420" s="5" t="s">
        <v>2224</v>
      </c>
      <c r="P420" s="4" t="s">
        <v>2224</v>
      </c>
      <c r="Q420" s="4" t="s">
        <v>2905</v>
      </c>
      <c r="R420" s="4" t="s">
        <v>2226</v>
      </c>
      <c r="S420" s="4" t="s">
        <v>2227</v>
      </c>
      <c r="T420" s="4" t="s">
        <v>2228</v>
      </c>
      <c r="U420" s="4" t="s">
        <v>2258</v>
      </c>
      <c r="V420" s="4" t="s">
        <v>55</v>
      </c>
      <c r="W420" s="4" t="s">
        <v>2249</v>
      </c>
      <c r="X420" s="4" t="s">
        <v>2224</v>
      </c>
      <c r="Y420" s="4" t="s">
        <v>2259</v>
      </c>
      <c r="Z420" s="6">
        <v>135074.53080000001</v>
      </c>
      <c r="AA420" s="6">
        <v>1620894.37</v>
      </c>
      <c r="AB420" s="4" t="s">
        <v>2232</v>
      </c>
      <c r="AC420" s="7" t="s">
        <v>2224</v>
      </c>
    </row>
    <row r="421" spans="1:29" ht="15" customHeight="1" collapsed="1" thickBot="1" x14ac:dyDescent="0.3">
      <c r="A421" s="20" t="str">
        <f>CONCATENATE("310"," - ","MRS", " ","Selma"," ", "Lotter")</f>
        <v>310 - MRS Selma Lotter</v>
      </c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2"/>
    </row>
    <row r="422" spans="1:29" ht="15" hidden="1" customHeight="1" outlineLevel="1" thickBot="1" x14ac:dyDescent="0.3">
      <c r="A422" s="4" t="s">
        <v>2906</v>
      </c>
      <c r="B422" s="4" t="s">
        <v>314</v>
      </c>
      <c r="C422" s="4" t="s">
        <v>2220</v>
      </c>
      <c r="D422" s="5">
        <v>42962.462500000001</v>
      </c>
      <c r="E422" s="4" t="s">
        <v>2221</v>
      </c>
      <c r="F422" s="4" t="s">
        <v>2222</v>
      </c>
      <c r="G422" s="4" t="s">
        <v>2280</v>
      </c>
      <c r="H422" s="4" t="s">
        <v>800</v>
      </c>
      <c r="I422" s="4" t="s">
        <v>1372</v>
      </c>
      <c r="J422" s="4" t="s">
        <v>1371</v>
      </c>
      <c r="K422" s="5">
        <v>26956</v>
      </c>
      <c r="L422" s="4" t="s">
        <v>2907</v>
      </c>
      <c r="M422" s="4" t="s">
        <v>9</v>
      </c>
      <c r="N422" s="5">
        <v>41153</v>
      </c>
      <c r="O422" s="5" t="s">
        <v>2224</v>
      </c>
      <c r="P422" s="4" t="s">
        <v>2224</v>
      </c>
      <c r="Q422" s="4" t="s">
        <v>2908</v>
      </c>
      <c r="R422" s="4" t="s">
        <v>2226</v>
      </c>
      <c r="S422" s="4" t="s">
        <v>2227</v>
      </c>
      <c r="T422" s="4" t="s">
        <v>2228</v>
      </c>
      <c r="U422" s="4" t="s">
        <v>2248</v>
      </c>
      <c r="V422" s="4" t="s">
        <v>315</v>
      </c>
      <c r="W422" s="4" t="s">
        <v>2249</v>
      </c>
      <c r="X422" s="4" t="s">
        <v>2224</v>
      </c>
      <c r="Y422" s="4" t="s">
        <v>2909</v>
      </c>
      <c r="Z422" s="6">
        <v>66069.119999999995</v>
      </c>
      <c r="AA422" s="6">
        <v>792829.43999999994</v>
      </c>
      <c r="AB422" s="4" t="s">
        <v>2232</v>
      </c>
      <c r="AC422" s="7" t="s">
        <v>2224</v>
      </c>
    </row>
    <row r="423" spans="1:29" ht="15" customHeight="1" collapsed="1" thickBot="1" x14ac:dyDescent="0.3">
      <c r="A423" s="20" t="str">
        <f>CONCATENATE("311"," - ","MR", " ","Petrus"," ", "Loubser")</f>
        <v>311 - MR Petrus Loubser</v>
      </c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2"/>
    </row>
    <row r="424" spans="1:29" ht="15" hidden="1" customHeight="1" outlineLevel="1" thickBot="1" x14ac:dyDescent="0.3">
      <c r="A424" s="4" t="s">
        <v>2910</v>
      </c>
      <c r="B424" s="4" t="s">
        <v>663</v>
      </c>
      <c r="C424" s="4" t="s">
        <v>2220</v>
      </c>
      <c r="D424" s="5">
        <v>42962.462500000001</v>
      </c>
      <c r="E424" s="4" t="s">
        <v>2221</v>
      </c>
      <c r="F424" s="4" t="s">
        <v>2222</v>
      </c>
      <c r="G424" s="4" t="s">
        <v>2014</v>
      </c>
      <c r="H424" s="4" t="s">
        <v>977</v>
      </c>
      <c r="I424" s="4" t="s">
        <v>1355</v>
      </c>
      <c r="J424" s="4" t="s">
        <v>2000</v>
      </c>
      <c r="K424" s="5">
        <v>21305</v>
      </c>
      <c r="L424" s="4" t="s">
        <v>2911</v>
      </c>
      <c r="M424" s="4" t="s">
        <v>9</v>
      </c>
      <c r="N424" s="5">
        <v>42430</v>
      </c>
      <c r="O424" s="5" t="s">
        <v>2224</v>
      </c>
      <c r="P424" s="4" t="s">
        <v>2224</v>
      </c>
      <c r="Q424" s="4" t="s">
        <v>2912</v>
      </c>
      <c r="R424" s="4" t="s">
        <v>2226</v>
      </c>
      <c r="S424" s="4" t="s">
        <v>2227</v>
      </c>
      <c r="T424" s="4" t="s">
        <v>2228</v>
      </c>
      <c r="U424" s="4" t="s">
        <v>2248</v>
      </c>
      <c r="V424" s="4" t="s">
        <v>315</v>
      </c>
      <c r="W424" s="4" t="s">
        <v>2249</v>
      </c>
      <c r="X424" s="4" t="s">
        <v>2224</v>
      </c>
      <c r="Y424" s="4" t="s">
        <v>2909</v>
      </c>
      <c r="Z424" s="6">
        <v>68822</v>
      </c>
      <c r="AA424" s="6">
        <v>825864</v>
      </c>
      <c r="AB424" s="4" t="s">
        <v>2232</v>
      </c>
      <c r="AC424" s="7" t="s">
        <v>2224</v>
      </c>
    </row>
    <row r="425" spans="1:29" ht="15" customHeight="1" collapsed="1" thickBot="1" x14ac:dyDescent="0.3">
      <c r="A425" s="20" t="str">
        <f>CONCATENATE("312"," - ","MISS", " ","Alvina"," ", "Louw")</f>
        <v>312 - MISS Alvina Louw</v>
      </c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2"/>
    </row>
    <row r="426" spans="1:29" ht="15" hidden="1" customHeight="1" outlineLevel="1" thickBot="1" x14ac:dyDescent="0.3">
      <c r="A426" s="4" t="s">
        <v>2913</v>
      </c>
      <c r="B426" s="4" t="s">
        <v>128</v>
      </c>
      <c r="C426" s="4" t="s">
        <v>2220</v>
      </c>
      <c r="D426" s="5">
        <v>42962.461805555555</v>
      </c>
      <c r="E426" s="4" t="s">
        <v>2221</v>
      </c>
      <c r="F426" s="4" t="s">
        <v>2222</v>
      </c>
      <c r="G426" s="4" t="s">
        <v>2234</v>
      </c>
      <c r="H426" s="4" t="s">
        <v>1014</v>
      </c>
      <c r="I426" s="4" t="s">
        <v>1015</v>
      </c>
      <c r="J426" s="4" t="s">
        <v>913</v>
      </c>
      <c r="K426" s="5">
        <v>30849</v>
      </c>
      <c r="L426" s="4" t="s">
        <v>2914</v>
      </c>
      <c r="M426" s="4" t="s">
        <v>9</v>
      </c>
      <c r="N426" s="5">
        <v>39087</v>
      </c>
      <c r="O426" s="5" t="s">
        <v>2224</v>
      </c>
      <c r="P426" s="4" t="s">
        <v>2224</v>
      </c>
      <c r="Q426" s="4" t="s">
        <v>2915</v>
      </c>
      <c r="R426" s="4" t="s">
        <v>2226</v>
      </c>
      <c r="S426" s="4" t="s">
        <v>2227</v>
      </c>
      <c r="T426" s="4" t="s">
        <v>2228</v>
      </c>
      <c r="U426" s="4" t="s">
        <v>2229</v>
      </c>
      <c r="V426" s="4" t="s">
        <v>25</v>
      </c>
      <c r="W426" s="4" t="s">
        <v>2278</v>
      </c>
      <c r="X426" s="4" t="s">
        <v>2224</v>
      </c>
      <c r="Y426" s="4" t="s">
        <v>2384</v>
      </c>
      <c r="Z426" s="6">
        <v>17112.251499999998</v>
      </c>
      <c r="AA426" s="6">
        <v>205347.02</v>
      </c>
      <c r="AB426" s="4" t="s">
        <v>2232</v>
      </c>
      <c r="AC426" s="7" t="s">
        <v>2224</v>
      </c>
    </row>
    <row r="427" spans="1:29" ht="15" customHeight="1" collapsed="1" thickBot="1" x14ac:dyDescent="0.3">
      <c r="A427" s="20" t="str">
        <f>CONCATENATE("313"," - ","MRS", " ","Candice"," ", "Louw")</f>
        <v>313 - MRS Candice Louw</v>
      </c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2"/>
    </row>
    <row r="428" spans="1:29" ht="15" hidden="1" customHeight="1" outlineLevel="1" thickBot="1" x14ac:dyDescent="0.3">
      <c r="A428" s="4" t="s">
        <v>2916</v>
      </c>
      <c r="B428" s="4" t="s">
        <v>78</v>
      </c>
      <c r="C428" s="4" t="s">
        <v>2220</v>
      </c>
      <c r="D428" s="5">
        <v>42962.461805555555</v>
      </c>
      <c r="E428" s="4" t="s">
        <v>2221</v>
      </c>
      <c r="F428" s="4" t="s">
        <v>2222</v>
      </c>
      <c r="G428" s="4" t="s">
        <v>2280</v>
      </c>
      <c r="H428" s="4" t="s">
        <v>743</v>
      </c>
      <c r="I428" s="4" t="s">
        <v>914</v>
      </c>
      <c r="J428" s="4" t="s">
        <v>913</v>
      </c>
      <c r="K428" s="5">
        <v>29719</v>
      </c>
      <c r="L428" s="4" t="s">
        <v>2917</v>
      </c>
      <c r="M428" s="4" t="s">
        <v>9</v>
      </c>
      <c r="N428" s="5">
        <v>39020</v>
      </c>
      <c r="O428" s="5" t="s">
        <v>2224</v>
      </c>
      <c r="P428" s="4" t="s">
        <v>2224</v>
      </c>
      <c r="Q428" s="4" t="s">
        <v>2918</v>
      </c>
      <c r="R428" s="4" t="s">
        <v>2226</v>
      </c>
      <c r="S428" s="4" t="s">
        <v>2227</v>
      </c>
      <c r="T428" s="4" t="s">
        <v>2228</v>
      </c>
      <c r="U428" s="4" t="s">
        <v>2229</v>
      </c>
      <c r="V428" s="4" t="s">
        <v>75</v>
      </c>
      <c r="W428" s="4" t="s">
        <v>2249</v>
      </c>
      <c r="X428" s="4" t="s">
        <v>2224</v>
      </c>
      <c r="Y428" s="4" t="s">
        <v>2621</v>
      </c>
      <c r="Z428" s="6">
        <v>34940.400000000001</v>
      </c>
      <c r="AA428" s="6">
        <v>419284.8</v>
      </c>
      <c r="AB428" s="4" t="s">
        <v>2232</v>
      </c>
      <c r="AC428" s="7" t="s">
        <v>2224</v>
      </c>
    </row>
    <row r="429" spans="1:29" ht="15" customHeight="1" collapsed="1" thickBot="1" x14ac:dyDescent="0.3">
      <c r="A429" s="20" t="str">
        <f>CONCATENATE("314"," - ","MR", " ","Yudhuir"," ", "Lowton")</f>
        <v>314 - MR Yudhuir Lowton</v>
      </c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2"/>
    </row>
    <row r="430" spans="1:29" ht="15" hidden="1" customHeight="1" outlineLevel="1" thickBot="1" x14ac:dyDescent="0.3">
      <c r="A430" s="4" t="s">
        <v>2919</v>
      </c>
      <c r="B430" s="4" t="s">
        <v>126</v>
      </c>
      <c r="C430" s="4" t="s">
        <v>2220</v>
      </c>
      <c r="D430" s="5">
        <v>42962.461805555555</v>
      </c>
      <c r="E430" s="4" t="s">
        <v>2221</v>
      </c>
      <c r="F430" s="4" t="s">
        <v>2222</v>
      </c>
      <c r="G430" s="4" t="s">
        <v>2014</v>
      </c>
      <c r="H430" s="4" t="s">
        <v>794</v>
      </c>
      <c r="I430" s="4" t="s">
        <v>1010</v>
      </c>
      <c r="J430" s="4" t="s">
        <v>1009</v>
      </c>
      <c r="K430" s="5">
        <v>29637</v>
      </c>
      <c r="L430" s="4" t="s">
        <v>2920</v>
      </c>
      <c r="M430" s="4" t="s">
        <v>9</v>
      </c>
      <c r="N430" s="5">
        <v>39084</v>
      </c>
      <c r="O430" s="5" t="s">
        <v>2224</v>
      </c>
      <c r="P430" s="4" t="s">
        <v>2224</v>
      </c>
      <c r="Q430" s="4" t="s">
        <v>2921</v>
      </c>
      <c r="R430" s="4" t="s">
        <v>2226</v>
      </c>
      <c r="S430" s="4" t="s">
        <v>2227</v>
      </c>
      <c r="T430" s="4" t="s">
        <v>2228</v>
      </c>
      <c r="U430" s="4" t="s">
        <v>2229</v>
      </c>
      <c r="V430" s="4" t="s">
        <v>25</v>
      </c>
      <c r="W430" s="4" t="s">
        <v>2278</v>
      </c>
      <c r="X430" s="4" t="s">
        <v>2224</v>
      </c>
      <c r="Y430" s="4" t="s">
        <v>2384</v>
      </c>
      <c r="Z430" s="6">
        <v>17112.251499999998</v>
      </c>
      <c r="AA430" s="6">
        <v>205347.02</v>
      </c>
      <c r="AB430" s="4" t="s">
        <v>2232</v>
      </c>
      <c r="AC430" s="7" t="s">
        <v>2224</v>
      </c>
    </row>
    <row r="431" spans="1:29" ht="15" customHeight="1" collapsed="1" thickBot="1" x14ac:dyDescent="0.3">
      <c r="A431" s="20" t="str">
        <f>CONCATENATE("315"," - ","MISS", " ","Carol"," ", "Lubisi")</f>
        <v>315 - MISS Carol Lubisi</v>
      </c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2"/>
    </row>
    <row r="432" spans="1:29" ht="15" hidden="1" customHeight="1" outlineLevel="1" thickBot="1" x14ac:dyDescent="0.3">
      <c r="A432" s="4" t="s">
        <v>2922</v>
      </c>
      <c r="B432" s="4" t="s">
        <v>437</v>
      </c>
      <c r="C432" s="4" t="s">
        <v>2220</v>
      </c>
      <c r="D432" s="5">
        <v>42962.549999999996</v>
      </c>
      <c r="E432" s="4" t="s">
        <v>2221</v>
      </c>
      <c r="F432" s="4" t="s">
        <v>2222</v>
      </c>
      <c r="G432" s="4" t="s">
        <v>2234</v>
      </c>
      <c r="H432" s="4" t="s">
        <v>743</v>
      </c>
      <c r="I432" s="4" t="s">
        <v>1606</v>
      </c>
      <c r="J432" s="4" t="s">
        <v>1605</v>
      </c>
      <c r="K432" s="5">
        <v>30034</v>
      </c>
      <c r="L432" s="4" t="s">
        <v>2923</v>
      </c>
      <c r="M432" s="4" t="s">
        <v>9</v>
      </c>
      <c r="N432" s="5">
        <v>41611</v>
      </c>
      <c r="O432" s="5" t="s">
        <v>2224</v>
      </c>
      <c r="P432" s="4" t="s">
        <v>2224</v>
      </c>
      <c r="Q432" s="4" t="s">
        <v>2552</v>
      </c>
      <c r="R432" s="4" t="s">
        <v>2226</v>
      </c>
      <c r="S432" s="4" t="s">
        <v>2227</v>
      </c>
      <c r="T432" s="4" t="s">
        <v>2228</v>
      </c>
      <c r="U432" s="4" t="s">
        <v>2237</v>
      </c>
      <c r="V432" s="4" t="s">
        <v>125</v>
      </c>
      <c r="W432" s="4" t="s">
        <v>2230</v>
      </c>
      <c r="X432" s="4" t="s">
        <v>2224</v>
      </c>
      <c r="Y432" s="4" t="s">
        <v>2239</v>
      </c>
      <c r="Z432" s="6">
        <v>20392</v>
      </c>
      <c r="AA432" s="6">
        <v>244704</v>
      </c>
      <c r="AB432" s="4" t="s">
        <v>2232</v>
      </c>
      <c r="AC432" s="7" t="s">
        <v>2224</v>
      </c>
    </row>
    <row r="433" spans="1:29" ht="15" customHeight="1" collapsed="1" thickBot="1" x14ac:dyDescent="0.3">
      <c r="A433" s="20" t="str">
        <f>CONCATENATE("316"," - ","", " ","Selwyn"," ", "Jonkers")</f>
        <v>316 -  Selwyn Jonkers</v>
      </c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2"/>
    </row>
    <row r="434" spans="1:29" ht="15" hidden="1" customHeight="1" outlineLevel="1" thickBot="1" x14ac:dyDescent="0.3">
      <c r="A434" s="4" t="s">
        <v>2924</v>
      </c>
      <c r="B434" s="4" t="s">
        <v>629</v>
      </c>
      <c r="C434" s="4" t="s">
        <v>2220</v>
      </c>
      <c r="D434" s="5">
        <v>42962.549999999996</v>
      </c>
      <c r="E434" s="4" t="s">
        <v>2221</v>
      </c>
      <c r="F434" s="4" t="s">
        <v>2222</v>
      </c>
      <c r="G434" s="4" t="s">
        <v>2224</v>
      </c>
      <c r="H434" s="4" t="s">
        <v>800</v>
      </c>
      <c r="I434" s="4" t="s">
        <v>1201</v>
      </c>
      <c r="J434" s="4" t="s">
        <v>1875</v>
      </c>
      <c r="K434" s="5">
        <v>35238</v>
      </c>
      <c r="L434" s="4" t="s">
        <v>2925</v>
      </c>
      <c r="M434" s="4" t="s">
        <v>9</v>
      </c>
      <c r="N434" s="5">
        <v>42303</v>
      </c>
      <c r="O434" s="5" t="s">
        <v>2224</v>
      </c>
      <c r="P434" s="4" t="s">
        <v>2224</v>
      </c>
      <c r="Q434" s="4" t="s">
        <v>2926</v>
      </c>
      <c r="R434" s="4" t="s">
        <v>2226</v>
      </c>
      <c r="S434" s="4" t="s">
        <v>2227</v>
      </c>
      <c r="T434" s="4" t="s">
        <v>2228</v>
      </c>
      <c r="U434" s="4" t="s">
        <v>2237</v>
      </c>
      <c r="V434" s="4" t="s">
        <v>8</v>
      </c>
      <c r="W434" s="4" t="s">
        <v>2278</v>
      </c>
      <c r="X434" s="4" t="s">
        <v>2224</v>
      </c>
      <c r="Y434" s="4" t="s">
        <v>2239</v>
      </c>
      <c r="Z434" s="6">
        <v>16081.7</v>
      </c>
      <c r="AA434" s="6">
        <v>192980.4</v>
      </c>
      <c r="AB434" s="4" t="s">
        <v>2232</v>
      </c>
      <c r="AC434" s="7" t="s">
        <v>2224</v>
      </c>
    </row>
    <row r="435" spans="1:29" ht="15" customHeight="1" collapsed="1" thickBot="1" x14ac:dyDescent="0.3">
      <c r="A435" s="20" t="str">
        <f>CONCATENATE("317"," - ","MISS", " ","Siphokazi"," ", "Lugalo")</f>
        <v>317 - MISS Siphokazi Lugalo</v>
      </c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2"/>
    </row>
    <row r="436" spans="1:29" ht="15" hidden="1" customHeight="1" outlineLevel="1" thickBot="1" x14ac:dyDescent="0.3">
      <c r="A436" s="4" t="s">
        <v>2927</v>
      </c>
      <c r="B436" s="4" t="s">
        <v>283</v>
      </c>
      <c r="C436" s="4" t="s">
        <v>2220</v>
      </c>
      <c r="D436" s="5">
        <v>42962.461805555555</v>
      </c>
      <c r="E436" s="4" t="s">
        <v>2221</v>
      </c>
      <c r="F436" s="4" t="s">
        <v>2222</v>
      </c>
      <c r="G436" s="4" t="s">
        <v>2234</v>
      </c>
      <c r="H436" s="4" t="s">
        <v>1024</v>
      </c>
      <c r="I436" s="4" t="s">
        <v>1320</v>
      </c>
      <c r="J436" s="4" t="s">
        <v>1319</v>
      </c>
      <c r="K436" s="5">
        <v>32392</v>
      </c>
      <c r="L436" s="4" t="s">
        <v>2928</v>
      </c>
      <c r="M436" s="4" t="s">
        <v>9</v>
      </c>
      <c r="N436" s="5">
        <v>40819</v>
      </c>
      <c r="O436" s="5" t="s">
        <v>2224</v>
      </c>
      <c r="P436" s="4" t="s">
        <v>2224</v>
      </c>
      <c r="Q436" s="4" t="s">
        <v>2929</v>
      </c>
      <c r="R436" s="4" t="s">
        <v>2226</v>
      </c>
      <c r="S436" s="4" t="s">
        <v>2227</v>
      </c>
      <c r="T436" s="4" t="s">
        <v>2228</v>
      </c>
      <c r="U436" s="4" t="s">
        <v>2229</v>
      </c>
      <c r="V436" s="4" t="s">
        <v>25</v>
      </c>
      <c r="W436" s="4" t="s">
        <v>2278</v>
      </c>
      <c r="X436" s="4" t="s">
        <v>2224</v>
      </c>
      <c r="Y436" s="4" t="s">
        <v>2231</v>
      </c>
      <c r="Z436" s="6">
        <v>16486.259999999998</v>
      </c>
      <c r="AA436" s="6">
        <v>197835.12</v>
      </c>
      <c r="AB436" s="4" t="s">
        <v>2232</v>
      </c>
      <c r="AC436" s="7" t="s">
        <v>2224</v>
      </c>
    </row>
    <row r="437" spans="1:29" ht="15" customHeight="1" collapsed="1" thickBot="1" x14ac:dyDescent="0.3">
      <c r="A437" s="20" t="str">
        <f>CONCATENATE("318"," - ","MRS", " ","Pumla"," ", "Luhabe")</f>
        <v>318 - MRS Pumla Luhabe</v>
      </c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2"/>
    </row>
    <row r="438" spans="1:29" ht="15" hidden="1" customHeight="1" outlineLevel="1" thickBot="1" x14ac:dyDescent="0.3">
      <c r="A438" s="4" t="s">
        <v>2930</v>
      </c>
      <c r="B438" s="4" t="s">
        <v>131</v>
      </c>
      <c r="C438" s="4" t="s">
        <v>2220</v>
      </c>
      <c r="D438" s="5">
        <v>42962.462500000001</v>
      </c>
      <c r="E438" s="4" t="s">
        <v>2221</v>
      </c>
      <c r="F438" s="4" t="s">
        <v>2222</v>
      </c>
      <c r="G438" s="4" t="s">
        <v>2280</v>
      </c>
      <c r="H438" s="4" t="s">
        <v>781</v>
      </c>
      <c r="I438" s="4" t="s">
        <v>1019</v>
      </c>
      <c r="J438" s="4" t="s">
        <v>1018</v>
      </c>
      <c r="K438" s="5">
        <v>22926</v>
      </c>
      <c r="L438" s="4" t="s">
        <v>2931</v>
      </c>
      <c r="M438" s="4" t="s">
        <v>9</v>
      </c>
      <c r="N438" s="5">
        <v>39114</v>
      </c>
      <c r="O438" s="5" t="s">
        <v>2224</v>
      </c>
      <c r="P438" s="4" t="s">
        <v>2224</v>
      </c>
      <c r="Q438" s="4" t="s">
        <v>2932</v>
      </c>
      <c r="R438" s="4" t="s">
        <v>2226</v>
      </c>
      <c r="S438" s="4" t="s">
        <v>2227</v>
      </c>
      <c r="T438" s="4" t="s">
        <v>2228</v>
      </c>
      <c r="U438" s="4" t="s">
        <v>2248</v>
      </c>
      <c r="V438" s="4" t="s">
        <v>132</v>
      </c>
      <c r="W438" s="4" t="s">
        <v>2821</v>
      </c>
      <c r="X438" s="4" t="s">
        <v>2224</v>
      </c>
      <c r="Y438" s="4" t="s">
        <v>2298</v>
      </c>
      <c r="Z438" s="6">
        <v>113957.93459999999</v>
      </c>
      <c r="AA438" s="6">
        <v>1367495.22</v>
      </c>
      <c r="AB438" s="4" t="s">
        <v>2232</v>
      </c>
      <c r="AC438" s="7" t="s">
        <v>2224</v>
      </c>
    </row>
    <row r="439" spans="1:29" ht="15" customHeight="1" collapsed="1" thickBot="1" x14ac:dyDescent="0.3">
      <c r="A439" s="20" t="str">
        <f>CONCATENATE("319"," - ","MISS", " ","Busisiwe"," ", "Lukhele")</f>
        <v>319 - MISS Busisiwe Lukhele</v>
      </c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2"/>
    </row>
    <row r="440" spans="1:29" ht="15" hidden="1" customHeight="1" outlineLevel="1" thickBot="1" x14ac:dyDescent="0.3">
      <c r="A440" s="4" t="s">
        <v>2933</v>
      </c>
      <c r="B440" s="4" t="s">
        <v>162</v>
      </c>
      <c r="C440" s="4" t="s">
        <v>2220</v>
      </c>
      <c r="D440" s="5">
        <v>42962.462500000001</v>
      </c>
      <c r="E440" s="4" t="s">
        <v>2221</v>
      </c>
      <c r="F440" s="4" t="s">
        <v>2222</v>
      </c>
      <c r="G440" s="4" t="s">
        <v>2234</v>
      </c>
      <c r="H440" s="4" t="s">
        <v>791</v>
      </c>
      <c r="I440" s="4" t="s">
        <v>1081</v>
      </c>
      <c r="J440" s="4" t="s">
        <v>1080</v>
      </c>
      <c r="K440" s="5">
        <v>31548</v>
      </c>
      <c r="L440" s="4" t="s">
        <v>2934</v>
      </c>
      <c r="M440" s="4" t="s">
        <v>9</v>
      </c>
      <c r="N440" s="5">
        <v>39387</v>
      </c>
      <c r="O440" s="5" t="s">
        <v>2224</v>
      </c>
      <c r="P440" s="4" t="s">
        <v>2224</v>
      </c>
      <c r="Q440" s="4" t="s">
        <v>2935</v>
      </c>
      <c r="R440" s="4" t="s">
        <v>2226</v>
      </c>
      <c r="S440" s="4" t="s">
        <v>2227</v>
      </c>
      <c r="T440" s="4" t="s">
        <v>2228</v>
      </c>
      <c r="U440" s="4" t="s">
        <v>2248</v>
      </c>
      <c r="V440" s="4" t="s">
        <v>25</v>
      </c>
      <c r="W440" s="4" t="s">
        <v>2278</v>
      </c>
      <c r="X440" s="4" t="s">
        <v>2224</v>
      </c>
      <c r="Y440" s="4" t="s">
        <v>2609</v>
      </c>
      <c r="Z440" s="6">
        <v>17112.251499999998</v>
      </c>
      <c r="AA440" s="6">
        <v>205347.02</v>
      </c>
      <c r="AB440" s="4" t="s">
        <v>2232</v>
      </c>
      <c r="AC440" s="7" t="s">
        <v>2224</v>
      </c>
    </row>
    <row r="441" spans="1:29" ht="15" customHeight="1" collapsed="1" thickBot="1" x14ac:dyDescent="0.3">
      <c r="A441" s="20" t="str">
        <f>CONCATENATE("32"," - ","MR", " ","Mohamed"," ", "Amod")</f>
        <v>32 - MR Mohamed Amod</v>
      </c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2"/>
    </row>
    <row r="442" spans="1:29" ht="15" hidden="1" customHeight="1" outlineLevel="1" thickBot="1" x14ac:dyDescent="0.3">
      <c r="A442" s="4" t="s">
        <v>2936</v>
      </c>
      <c r="B442" s="4" t="s">
        <v>645</v>
      </c>
      <c r="C442" s="4" t="s">
        <v>2220</v>
      </c>
      <c r="D442" s="5">
        <v>42962.549999999996</v>
      </c>
      <c r="E442" s="4" t="s">
        <v>2221</v>
      </c>
      <c r="F442" s="4" t="s">
        <v>2222</v>
      </c>
      <c r="G442" s="4" t="s">
        <v>2014</v>
      </c>
      <c r="H442" s="4" t="s">
        <v>788</v>
      </c>
      <c r="I442" s="4" t="s">
        <v>1975</v>
      </c>
      <c r="J442" s="4" t="s">
        <v>1974</v>
      </c>
      <c r="K442" s="5">
        <v>35330</v>
      </c>
      <c r="L442" s="4" t="s">
        <v>2937</v>
      </c>
      <c r="M442" s="4" t="s">
        <v>9</v>
      </c>
      <c r="N442" s="5">
        <v>42332</v>
      </c>
      <c r="O442" s="5" t="s">
        <v>2224</v>
      </c>
      <c r="P442" s="4" t="s">
        <v>2224</v>
      </c>
      <c r="Q442" s="4" t="s">
        <v>2938</v>
      </c>
      <c r="R442" s="4" t="s">
        <v>2226</v>
      </c>
      <c r="S442" s="4" t="s">
        <v>2227</v>
      </c>
      <c r="T442" s="4" t="s">
        <v>2228</v>
      </c>
      <c r="U442" s="4" t="s">
        <v>2237</v>
      </c>
      <c r="V442" s="4" t="s">
        <v>125</v>
      </c>
      <c r="W442" s="4" t="s">
        <v>2278</v>
      </c>
      <c r="X442" s="4" t="s">
        <v>2224</v>
      </c>
      <c r="Y442" s="4" t="s">
        <v>2239</v>
      </c>
      <c r="Z442" s="6">
        <v>16081.7</v>
      </c>
      <c r="AA442" s="6">
        <v>192980.4</v>
      </c>
      <c r="AB442" s="4" t="s">
        <v>2232</v>
      </c>
      <c r="AC442" s="7" t="s">
        <v>2224</v>
      </c>
    </row>
    <row r="443" spans="1:29" ht="15" customHeight="1" collapsed="1" thickBot="1" x14ac:dyDescent="0.3">
      <c r="A443" s="20" t="str">
        <f>CONCATENATE("320"," - ","MISS", " ","Lindiwe"," ", "Luthuli")</f>
        <v>320 - MISS Lindiwe Luthuli</v>
      </c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2"/>
    </row>
    <row r="444" spans="1:29" ht="15" hidden="1" customHeight="1" outlineLevel="1" thickBot="1" x14ac:dyDescent="0.3">
      <c r="A444" s="4" t="s">
        <v>2939</v>
      </c>
      <c r="B444" s="4" t="s">
        <v>88</v>
      </c>
      <c r="C444" s="4" t="s">
        <v>2220</v>
      </c>
      <c r="D444" s="5">
        <v>42962.461111111108</v>
      </c>
      <c r="E444" s="4" t="s">
        <v>2221</v>
      </c>
      <c r="F444" s="4" t="s">
        <v>2222</v>
      </c>
      <c r="G444" s="4" t="s">
        <v>2234</v>
      </c>
      <c r="H444" s="4" t="s">
        <v>937</v>
      </c>
      <c r="I444" s="4" t="s">
        <v>938</v>
      </c>
      <c r="J444" s="4" t="s">
        <v>936</v>
      </c>
      <c r="K444" s="5">
        <v>29258</v>
      </c>
      <c r="L444" s="4" t="s">
        <v>2940</v>
      </c>
      <c r="M444" s="4" t="s">
        <v>9</v>
      </c>
      <c r="N444" s="5">
        <v>39020</v>
      </c>
      <c r="O444" s="5" t="s">
        <v>2224</v>
      </c>
      <c r="P444" s="4" t="s">
        <v>2224</v>
      </c>
      <c r="Q444" s="4" t="s">
        <v>2941</v>
      </c>
      <c r="R444" s="4" t="s">
        <v>2226</v>
      </c>
      <c r="S444" s="4" t="s">
        <v>2227</v>
      </c>
      <c r="T444" s="4" t="s">
        <v>2228</v>
      </c>
      <c r="U444" s="4" t="s">
        <v>2229</v>
      </c>
      <c r="V444" s="4" t="s">
        <v>25</v>
      </c>
      <c r="W444" s="4" t="s">
        <v>2278</v>
      </c>
      <c r="X444" s="4" t="s">
        <v>2224</v>
      </c>
      <c r="Y444" s="4" t="s">
        <v>2568</v>
      </c>
      <c r="Z444" s="6">
        <v>17112.2621</v>
      </c>
      <c r="AA444" s="6">
        <v>205347.15</v>
      </c>
      <c r="AB444" s="4" t="s">
        <v>2232</v>
      </c>
      <c r="AC444" s="7" t="s">
        <v>2224</v>
      </c>
    </row>
    <row r="445" spans="1:29" ht="15" customHeight="1" collapsed="1" thickBot="1" x14ac:dyDescent="0.3">
      <c r="A445" s="20" t="str">
        <f>CONCATENATE("321"," - ","MR", " ","Tshimangadzo"," ", "Mabada")</f>
        <v>321 - MR Tshimangadzo Mabada</v>
      </c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2"/>
    </row>
    <row r="446" spans="1:29" ht="15" hidden="1" customHeight="1" outlineLevel="1" thickBot="1" x14ac:dyDescent="0.3">
      <c r="A446" s="4" t="s">
        <v>2942</v>
      </c>
      <c r="B446" s="4" t="s">
        <v>382</v>
      </c>
      <c r="C446" s="4" t="s">
        <v>2220</v>
      </c>
      <c r="D446" s="5">
        <v>42961.339583333334</v>
      </c>
      <c r="E446" s="4" t="s">
        <v>2221</v>
      </c>
      <c r="F446" s="4" t="s">
        <v>2222</v>
      </c>
      <c r="G446" s="4" t="s">
        <v>2014</v>
      </c>
      <c r="H446" s="4" t="s">
        <v>1430</v>
      </c>
      <c r="I446" s="4" t="s">
        <v>1495</v>
      </c>
      <c r="J446" s="4" t="s">
        <v>1494</v>
      </c>
      <c r="K446" s="5">
        <v>27180</v>
      </c>
      <c r="L446" s="4" t="s">
        <v>2943</v>
      </c>
      <c r="M446" s="4" t="s">
        <v>9</v>
      </c>
      <c r="N446" s="5">
        <v>41502</v>
      </c>
      <c r="O446" s="5" t="s">
        <v>2224</v>
      </c>
      <c r="P446" s="4" t="s">
        <v>2224</v>
      </c>
      <c r="Q446" s="4" t="s">
        <v>2944</v>
      </c>
      <c r="R446" s="4" t="s">
        <v>2226</v>
      </c>
      <c r="S446" s="4" t="s">
        <v>2227</v>
      </c>
      <c r="T446" s="4" t="s">
        <v>2228</v>
      </c>
      <c r="U446" s="4" t="s">
        <v>2229</v>
      </c>
      <c r="V446" s="4" t="s">
        <v>25</v>
      </c>
      <c r="W446" s="4" t="s">
        <v>2278</v>
      </c>
      <c r="X446" s="4" t="s">
        <v>2224</v>
      </c>
      <c r="Y446" s="4" t="s">
        <v>2384</v>
      </c>
      <c r="Z446" s="6">
        <v>11116.82</v>
      </c>
      <c r="AA446" s="6">
        <v>133401.84</v>
      </c>
      <c r="AB446" s="4" t="s">
        <v>2232</v>
      </c>
      <c r="AC446" s="7" t="s">
        <v>2224</v>
      </c>
    </row>
    <row r="447" spans="1:29" ht="15" customHeight="1" collapsed="1" thickBot="1" x14ac:dyDescent="0.3">
      <c r="A447" s="20" t="str">
        <f>CONCATENATE("322"," - ","MR", " ","Tlangelani"," ", "Mabasa")</f>
        <v>322 - MR Tlangelani Mabasa</v>
      </c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2"/>
    </row>
    <row r="448" spans="1:29" ht="15" hidden="1" customHeight="1" outlineLevel="1" thickBot="1" x14ac:dyDescent="0.3">
      <c r="A448" s="4" t="s">
        <v>2945</v>
      </c>
      <c r="B448" s="4" t="s">
        <v>139</v>
      </c>
      <c r="C448" s="4" t="s">
        <v>2220</v>
      </c>
      <c r="D448" s="5">
        <v>42962.462500000001</v>
      </c>
      <c r="E448" s="4" t="s">
        <v>2221</v>
      </c>
      <c r="F448" s="4" t="s">
        <v>2222</v>
      </c>
      <c r="G448" s="4" t="s">
        <v>2014</v>
      </c>
      <c r="H448" s="4" t="s">
        <v>1035</v>
      </c>
      <c r="I448" s="4" t="s">
        <v>1036</v>
      </c>
      <c r="J448" s="4" t="s">
        <v>1034</v>
      </c>
      <c r="K448" s="5">
        <v>27731</v>
      </c>
      <c r="L448" s="4" t="s">
        <v>2946</v>
      </c>
      <c r="M448" s="4" t="s">
        <v>9</v>
      </c>
      <c r="N448" s="5">
        <v>39295</v>
      </c>
      <c r="O448" s="5" t="s">
        <v>2224</v>
      </c>
      <c r="P448" s="4" t="s">
        <v>2224</v>
      </c>
      <c r="Q448" s="4" t="s">
        <v>2947</v>
      </c>
      <c r="R448" s="4" t="s">
        <v>2226</v>
      </c>
      <c r="S448" s="4" t="s">
        <v>2227</v>
      </c>
      <c r="T448" s="4" t="s">
        <v>2228</v>
      </c>
      <c r="U448" s="4" t="s">
        <v>2229</v>
      </c>
      <c r="V448" s="4" t="s">
        <v>116</v>
      </c>
      <c r="W448" s="4" t="s">
        <v>2249</v>
      </c>
      <c r="X448" s="4" t="s">
        <v>2224</v>
      </c>
      <c r="Y448" s="4" t="s">
        <v>2549</v>
      </c>
      <c r="Z448" s="6">
        <v>26469.989399999999</v>
      </c>
      <c r="AA448" s="6">
        <v>317639.87</v>
      </c>
      <c r="AB448" s="4" t="s">
        <v>2232</v>
      </c>
      <c r="AC448" s="7" t="s">
        <v>2224</v>
      </c>
    </row>
    <row r="449" spans="1:29" ht="15" customHeight="1" collapsed="1" thickBot="1" x14ac:dyDescent="0.3">
      <c r="A449" s="20" t="str">
        <f>CONCATENATE("323"," - ","MISS", " ","Lindiwe"," ", "Mabaso")</f>
        <v>323 - MISS Lindiwe Mabaso</v>
      </c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2"/>
    </row>
    <row r="450" spans="1:29" ht="15" hidden="1" customHeight="1" outlineLevel="1" thickBot="1" x14ac:dyDescent="0.3">
      <c r="A450" s="4" t="s">
        <v>2948</v>
      </c>
      <c r="B450" s="4" t="s">
        <v>552</v>
      </c>
      <c r="C450" s="4" t="s">
        <v>2220</v>
      </c>
      <c r="D450" s="5">
        <v>42962.462500000001</v>
      </c>
      <c r="E450" s="4" t="s">
        <v>2221</v>
      </c>
      <c r="F450" s="4" t="s">
        <v>2222</v>
      </c>
      <c r="G450" s="4" t="s">
        <v>2234</v>
      </c>
      <c r="H450" s="4" t="s">
        <v>1826</v>
      </c>
      <c r="I450" s="4" t="s">
        <v>938</v>
      </c>
      <c r="J450" s="4" t="s">
        <v>1744</v>
      </c>
      <c r="K450" s="5">
        <v>27577</v>
      </c>
      <c r="L450" s="4" t="s">
        <v>2949</v>
      </c>
      <c r="M450" s="4" t="s">
        <v>9</v>
      </c>
      <c r="N450" s="5">
        <v>42095</v>
      </c>
      <c r="O450" s="5" t="s">
        <v>2224</v>
      </c>
      <c r="P450" s="4" t="s">
        <v>2224</v>
      </c>
      <c r="Q450" s="4" t="s">
        <v>2950</v>
      </c>
      <c r="R450" s="4" t="s">
        <v>2226</v>
      </c>
      <c r="S450" s="4" t="s">
        <v>2227</v>
      </c>
      <c r="T450" s="4" t="s">
        <v>2228</v>
      </c>
      <c r="U450" s="4" t="s">
        <v>2248</v>
      </c>
      <c r="V450" s="4" t="s">
        <v>553</v>
      </c>
      <c r="W450" s="4" t="s">
        <v>2821</v>
      </c>
      <c r="X450" s="4" t="s">
        <v>2224</v>
      </c>
      <c r="Y450" s="4" t="s">
        <v>2771</v>
      </c>
      <c r="Z450" s="6">
        <v>56198.457000000002</v>
      </c>
      <c r="AA450" s="6">
        <v>674381.48</v>
      </c>
      <c r="AB450" s="4" t="s">
        <v>2232</v>
      </c>
      <c r="AC450" s="7" t="s">
        <v>2224</v>
      </c>
    </row>
    <row r="451" spans="1:29" ht="15" customHeight="1" collapsed="1" thickBot="1" x14ac:dyDescent="0.3">
      <c r="A451" s="20" t="str">
        <f>CONCATENATE("324"," - ","MISS", " ","Nozwelakhe"," ", "Mabaso")</f>
        <v>324 - MISS Nozwelakhe Mabaso</v>
      </c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2"/>
    </row>
    <row r="452" spans="1:29" ht="15" hidden="1" customHeight="1" outlineLevel="1" thickBot="1" x14ac:dyDescent="0.3">
      <c r="A452" s="4" t="s">
        <v>2951</v>
      </c>
      <c r="B452" s="4" t="s">
        <v>506</v>
      </c>
      <c r="C452" s="4" t="s">
        <v>2220</v>
      </c>
      <c r="D452" s="5">
        <v>42962.549999999996</v>
      </c>
      <c r="E452" s="4" t="s">
        <v>2221</v>
      </c>
      <c r="F452" s="4" t="s">
        <v>2222</v>
      </c>
      <c r="G452" s="4" t="s">
        <v>2234</v>
      </c>
      <c r="H452" s="4" t="s">
        <v>1745</v>
      </c>
      <c r="I452" s="4" t="s">
        <v>1746</v>
      </c>
      <c r="J452" s="4" t="s">
        <v>1744</v>
      </c>
      <c r="K452" s="5">
        <v>33823</v>
      </c>
      <c r="L452" s="4" t="s">
        <v>2952</v>
      </c>
      <c r="M452" s="4" t="s">
        <v>9</v>
      </c>
      <c r="N452" s="5">
        <v>41975</v>
      </c>
      <c r="O452" s="5" t="s">
        <v>2224</v>
      </c>
      <c r="P452" s="4" t="s">
        <v>2224</v>
      </c>
      <c r="Q452" s="4" t="s">
        <v>2953</v>
      </c>
      <c r="R452" s="4" t="s">
        <v>2226</v>
      </c>
      <c r="S452" s="4" t="s">
        <v>2227</v>
      </c>
      <c r="T452" s="4" t="s">
        <v>2228</v>
      </c>
      <c r="U452" s="4" t="s">
        <v>2237</v>
      </c>
      <c r="V452" s="4" t="s">
        <v>8</v>
      </c>
      <c r="W452" s="4" t="s">
        <v>2278</v>
      </c>
      <c r="X452" s="4" t="s">
        <v>2224</v>
      </c>
      <c r="Y452" s="4" t="s">
        <v>2239</v>
      </c>
      <c r="Z452" s="6">
        <v>16486.259999999998</v>
      </c>
      <c r="AA452" s="6">
        <v>197835.12</v>
      </c>
      <c r="AB452" s="4" t="s">
        <v>2232</v>
      </c>
      <c r="AC452" s="7" t="s">
        <v>2224</v>
      </c>
    </row>
    <row r="453" spans="1:29" ht="15" customHeight="1" collapsed="1" thickBot="1" x14ac:dyDescent="0.3">
      <c r="A453" s="20" t="str">
        <f>CONCATENATE("325"," - ","MISS", " ","Zakithi"," ", "Mabaso")</f>
        <v>325 - MISS Zakithi Mabaso</v>
      </c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2"/>
    </row>
    <row r="454" spans="1:29" ht="15" hidden="1" customHeight="1" outlineLevel="1" thickBot="1" x14ac:dyDescent="0.3">
      <c r="A454" s="4" t="s">
        <v>2954</v>
      </c>
      <c r="B454" s="4" t="s">
        <v>538</v>
      </c>
      <c r="C454" s="4" t="s">
        <v>2220</v>
      </c>
      <c r="D454" s="5">
        <v>42962.549999999996</v>
      </c>
      <c r="E454" s="4" t="s">
        <v>2221</v>
      </c>
      <c r="F454" s="4" t="s">
        <v>2222</v>
      </c>
      <c r="G454" s="4" t="s">
        <v>2234</v>
      </c>
      <c r="H454" s="4" t="s">
        <v>934</v>
      </c>
      <c r="I454" s="4" t="s">
        <v>1804</v>
      </c>
      <c r="J454" s="4" t="s">
        <v>1744</v>
      </c>
      <c r="K454" s="5">
        <v>33823</v>
      </c>
      <c r="L454" s="4" t="s">
        <v>2955</v>
      </c>
      <c r="M454" s="4" t="s">
        <v>9</v>
      </c>
      <c r="N454" s="5">
        <v>42072</v>
      </c>
      <c r="O454" s="5" t="s">
        <v>2224</v>
      </c>
      <c r="P454" s="4" t="s">
        <v>2224</v>
      </c>
      <c r="Q454" s="4" t="s">
        <v>2552</v>
      </c>
      <c r="R454" s="4" t="s">
        <v>2226</v>
      </c>
      <c r="S454" s="4" t="s">
        <v>2227</v>
      </c>
      <c r="T454" s="4" t="s">
        <v>2228</v>
      </c>
      <c r="U454" s="4" t="s">
        <v>2237</v>
      </c>
      <c r="V454" s="4" t="s">
        <v>8</v>
      </c>
      <c r="W454" s="4" t="s">
        <v>2278</v>
      </c>
      <c r="X454" s="4" t="s">
        <v>2224</v>
      </c>
      <c r="Y454" s="4" t="s">
        <v>2239</v>
      </c>
      <c r="Z454" s="6">
        <v>16081.7</v>
      </c>
      <c r="AA454" s="6">
        <v>192980.4</v>
      </c>
      <c r="AB454" s="4" t="s">
        <v>2232</v>
      </c>
      <c r="AC454" s="7" t="s">
        <v>2224</v>
      </c>
    </row>
    <row r="455" spans="1:29" ht="15" customHeight="1" collapsed="1" thickBot="1" x14ac:dyDescent="0.3">
      <c r="A455" s="20" t="str">
        <f>CONCATENATE("326"," - ","MISS", " ","Thokozile"," ", "Mabena")</f>
        <v>326 - MISS Thokozile Mabena</v>
      </c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2"/>
    </row>
    <row r="456" spans="1:29" ht="15" hidden="1" customHeight="1" outlineLevel="1" thickBot="1" x14ac:dyDescent="0.3">
      <c r="A456" s="4" t="s">
        <v>2956</v>
      </c>
      <c r="B456" s="4" t="s">
        <v>507</v>
      </c>
      <c r="C456" s="4" t="s">
        <v>2220</v>
      </c>
      <c r="D456" s="5">
        <v>42962.549999999996</v>
      </c>
      <c r="E456" s="4" t="s">
        <v>2221</v>
      </c>
      <c r="F456" s="4" t="s">
        <v>2222</v>
      </c>
      <c r="G456" s="4" t="s">
        <v>2234</v>
      </c>
      <c r="H456" s="4" t="s">
        <v>1748</v>
      </c>
      <c r="I456" s="4" t="s">
        <v>1749</v>
      </c>
      <c r="J456" s="4" t="s">
        <v>1747</v>
      </c>
      <c r="K456" s="5">
        <v>33676</v>
      </c>
      <c r="L456" s="4" t="s">
        <v>2957</v>
      </c>
      <c r="M456" s="4" t="s">
        <v>9</v>
      </c>
      <c r="N456" s="5">
        <v>41975</v>
      </c>
      <c r="O456" s="5" t="s">
        <v>2224</v>
      </c>
      <c r="P456" s="4" t="s">
        <v>2224</v>
      </c>
      <c r="Q456" s="4" t="s">
        <v>2958</v>
      </c>
      <c r="R456" s="4" t="s">
        <v>2226</v>
      </c>
      <c r="S456" s="4" t="s">
        <v>2227</v>
      </c>
      <c r="T456" s="4" t="s">
        <v>2228</v>
      </c>
      <c r="U456" s="4" t="s">
        <v>2237</v>
      </c>
      <c r="V456" s="4" t="s">
        <v>8</v>
      </c>
      <c r="W456" s="4" t="s">
        <v>2278</v>
      </c>
      <c r="X456" s="4" t="s">
        <v>2224</v>
      </c>
      <c r="Y456" s="4" t="s">
        <v>2239</v>
      </c>
      <c r="Z456" s="6">
        <v>16486.259999999998</v>
      </c>
      <c r="AA456" s="6">
        <v>197835.12</v>
      </c>
      <c r="AB456" s="4" t="s">
        <v>2232</v>
      </c>
      <c r="AC456" s="7" t="s">
        <v>2224</v>
      </c>
    </row>
    <row r="457" spans="1:29" ht="15" customHeight="1" collapsed="1" thickBot="1" x14ac:dyDescent="0.3">
      <c r="A457" s="20" t="str">
        <f>CONCATENATE("327"," - ","MR", " ","Vusumuzi"," ", "Mabena")</f>
        <v>327 - MR Vusumuzi Mabena</v>
      </c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2"/>
    </row>
    <row r="458" spans="1:29" ht="15" hidden="1" customHeight="1" outlineLevel="1" thickBot="1" x14ac:dyDescent="0.3">
      <c r="A458" s="4" t="s">
        <v>2959</v>
      </c>
      <c r="B458" s="4" t="s">
        <v>675</v>
      </c>
      <c r="C458" s="4" t="s">
        <v>2220</v>
      </c>
      <c r="D458" s="5">
        <v>42962.550694444442</v>
      </c>
      <c r="E458" s="4" t="s">
        <v>2221</v>
      </c>
      <c r="F458" s="4" t="s">
        <v>2222</v>
      </c>
      <c r="G458" s="4" t="s">
        <v>2014</v>
      </c>
      <c r="H458" s="4" t="s">
        <v>2022</v>
      </c>
      <c r="I458" s="4" t="s">
        <v>2023</v>
      </c>
      <c r="J458" s="4" t="s">
        <v>1747</v>
      </c>
      <c r="K458" s="5">
        <v>29501</v>
      </c>
      <c r="L458" s="4" t="s">
        <v>2960</v>
      </c>
      <c r="M458" s="4" t="s">
        <v>9</v>
      </c>
      <c r="N458" s="5">
        <v>42491</v>
      </c>
      <c r="O458" s="5" t="s">
        <v>2224</v>
      </c>
      <c r="P458" s="4" t="s">
        <v>2224</v>
      </c>
      <c r="Q458" s="4" t="s">
        <v>2961</v>
      </c>
      <c r="R458" s="4" t="s">
        <v>2226</v>
      </c>
      <c r="S458" s="4" t="s">
        <v>2227</v>
      </c>
      <c r="T458" s="4" t="s">
        <v>2228</v>
      </c>
      <c r="U458" s="4" t="s">
        <v>2248</v>
      </c>
      <c r="V458" s="4" t="s">
        <v>185</v>
      </c>
      <c r="W458" s="4" t="s">
        <v>2249</v>
      </c>
      <c r="X458" s="4" t="s">
        <v>2224</v>
      </c>
      <c r="Y458" s="4" t="s">
        <v>2473</v>
      </c>
      <c r="Z458" s="6">
        <v>31764</v>
      </c>
      <c r="AA458" s="6">
        <v>381168</v>
      </c>
      <c r="AB458" s="4" t="s">
        <v>2232</v>
      </c>
      <c r="AC458" s="7" t="s">
        <v>2224</v>
      </c>
    </row>
    <row r="459" spans="1:29" ht="15" customHeight="1" collapsed="1" thickBot="1" x14ac:dyDescent="0.3">
      <c r="A459" s="20" t="str">
        <f>CONCATENATE("328"," - ","MR", " ","Cassius"," ", "Mabulana")</f>
        <v>328 - MR Cassius Mabulana</v>
      </c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2"/>
    </row>
    <row r="460" spans="1:29" ht="15" hidden="1" customHeight="1" outlineLevel="1" thickBot="1" x14ac:dyDescent="0.3">
      <c r="A460" s="4" t="s">
        <v>2962</v>
      </c>
      <c r="B460" s="4" t="s">
        <v>482</v>
      </c>
      <c r="C460" s="4" t="s">
        <v>2220</v>
      </c>
      <c r="D460" s="5">
        <v>42962.461805555555</v>
      </c>
      <c r="E460" s="4" t="s">
        <v>2221</v>
      </c>
      <c r="F460" s="4" t="s">
        <v>2222</v>
      </c>
      <c r="G460" s="4" t="s">
        <v>2014</v>
      </c>
      <c r="H460" s="4" t="s">
        <v>743</v>
      </c>
      <c r="I460" s="4" t="s">
        <v>1697</v>
      </c>
      <c r="J460" s="4" t="s">
        <v>1696</v>
      </c>
      <c r="K460" s="5">
        <v>31905</v>
      </c>
      <c r="L460" s="4" t="s">
        <v>2963</v>
      </c>
      <c r="M460" s="4" t="s">
        <v>9</v>
      </c>
      <c r="N460" s="5">
        <v>41883</v>
      </c>
      <c r="O460" s="5" t="s">
        <v>2224</v>
      </c>
      <c r="P460" s="4" t="s">
        <v>2224</v>
      </c>
      <c r="Q460" s="4" t="s">
        <v>2964</v>
      </c>
      <c r="R460" s="4" t="s">
        <v>2226</v>
      </c>
      <c r="S460" s="4" t="s">
        <v>2227</v>
      </c>
      <c r="T460" s="4" t="s">
        <v>2228</v>
      </c>
      <c r="U460" s="4" t="s">
        <v>2229</v>
      </c>
      <c r="V460" s="4" t="s">
        <v>25</v>
      </c>
      <c r="W460" s="4" t="s">
        <v>2278</v>
      </c>
      <c r="X460" s="4" t="s">
        <v>2224</v>
      </c>
      <c r="Y460" s="4" t="s">
        <v>2384</v>
      </c>
      <c r="Z460" s="6">
        <v>10844.03</v>
      </c>
      <c r="AA460" s="6">
        <v>130128.36</v>
      </c>
      <c r="AB460" s="4" t="s">
        <v>2232</v>
      </c>
      <c r="AC460" s="7" t="s">
        <v>2224</v>
      </c>
    </row>
    <row r="461" spans="1:29" ht="15" customHeight="1" collapsed="1" thickBot="1" x14ac:dyDescent="0.3">
      <c r="A461" s="20" t="str">
        <f>CONCATENATE("33"," - ","MISS", " ","Charne"," ", "Anthony")</f>
        <v>33 - MISS Charne Anthony</v>
      </c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2"/>
    </row>
    <row r="462" spans="1:29" ht="15" hidden="1" customHeight="1" outlineLevel="1" thickBot="1" x14ac:dyDescent="0.3">
      <c r="A462" s="4" t="s">
        <v>2965</v>
      </c>
      <c r="B462" s="4" t="s">
        <v>592</v>
      </c>
      <c r="C462" s="4" t="s">
        <v>2220</v>
      </c>
      <c r="D462" s="5">
        <v>42962.549999999996</v>
      </c>
      <c r="E462" s="4" t="s">
        <v>2221</v>
      </c>
      <c r="F462" s="4" t="s">
        <v>2222</v>
      </c>
      <c r="G462" s="4" t="s">
        <v>2234</v>
      </c>
      <c r="H462" s="4" t="s">
        <v>1898</v>
      </c>
      <c r="I462" s="4" t="s">
        <v>1899</v>
      </c>
      <c r="J462" s="4" t="s">
        <v>1897</v>
      </c>
      <c r="K462" s="5">
        <v>35153</v>
      </c>
      <c r="L462" s="4" t="s">
        <v>2966</v>
      </c>
      <c r="M462" s="4" t="s">
        <v>9</v>
      </c>
      <c r="N462" s="5">
        <v>42135</v>
      </c>
      <c r="O462" s="5" t="s">
        <v>2224</v>
      </c>
      <c r="P462" s="4" t="s">
        <v>2224</v>
      </c>
      <c r="Q462" s="4" t="s">
        <v>2967</v>
      </c>
      <c r="R462" s="4" t="s">
        <v>2226</v>
      </c>
      <c r="S462" s="4" t="s">
        <v>2227</v>
      </c>
      <c r="T462" s="4" t="s">
        <v>2228</v>
      </c>
      <c r="U462" s="4" t="s">
        <v>2237</v>
      </c>
      <c r="V462" s="4" t="s">
        <v>8</v>
      </c>
      <c r="W462" s="4" t="s">
        <v>2278</v>
      </c>
      <c r="X462" s="4" t="s">
        <v>2224</v>
      </c>
      <c r="Y462" s="4" t="s">
        <v>2239</v>
      </c>
      <c r="Z462" s="6">
        <v>16282.72</v>
      </c>
      <c r="AA462" s="6">
        <v>195392.64000000001</v>
      </c>
      <c r="AB462" s="4" t="s">
        <v>2232</v>
      </c>
      <c r="AC462" s="7" t="s">
        <v>2224</v>
      </c>
    </row>
    <row r="463" spans="1:29" ht="15" customHeight="1" collapsed="1" thickBot="1" x14ac:dyDescent="0.3">
      <c r="A463" s="20" t="str">
        <f>CONCATENATE("330"," - ","MISS", " ","Rosalind"," ", "MacDonald")</f>
        <v>330 - MISS Rosalind MacDonald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2"/>
    </row>
    <row r="464" spans="1:29" ht="15" hidden="1" customHeight="1" outlineLevel="1" thickBot="1" x14ac:dyDescent="0.3">
      <c r="A464" s="4" t="s">
        <v>2968</v>
      </c>
      <c r="B464" s="4" t="s">
        <v>421</v>
      </c>
      <c r="C464" s="4" t="s">
        <v>2220</v>
      </c>
      <c r="D464" s="5">
        <v>42963.29583333333</v>
      </c>
      <c r="E464" s="4" t="s">
        <v>2221</v>
      </c>
      <c r="F464" s="4" t="s">
        <v>2222</v>
      </c>
      <c r="G464" s="4" t="s">
        <v>2234</v>
      </c>
      <c r="H464" s="4" t="s">
        <v>1160</v>
      </c>
      <c r="I464" s="4" t="s">
        <v>1570</v>
      </c>
      <c r="J464" s="4" t="s">
        <v>1569</v>
      </c>
      <c r="K464" s="5">
        <v>28694</v>
      </c>
      <c r="L464" s="4" t="s">
        <v>2969</v>
      </c>
      <c r="M464" s="4" t="s">
        <v>9</v>
      </c>
      <c r="N464" s="5">
        <v>41556</v>
      </c>
      <c r="O464" s="5" t="s">
        <v>2224</v>
      </c>
      <c r="P464" s="4" t="s">
        <v>2224</v>
      </c>
      <c r="Q464" s="4" t="s">
        <v>2970</v>
      </c>
      <c r="R464" s="4" t="s">
        <v>2226</v>
      </c>
      <c r="S464" s="4" t="s">
        <v>2227</v>
      </c>
      <c r="T464" s="4" t="s">
        <v>2228</v>
      </c>
      <c r="U464" s="4" t="s">
        <v>2248</v>
      </c>
      <c r="V464" s="4" t="s">
        <v>262</v>
      </c>
      <c r="W464" s="4" t="s">
        <v>2249</v>
      </c>
      <c r="X464" s="4" t="s">
        <v>2224</v>
      </c>
      <c r="Y464" s="4" t="s">
        <v>2971</v>
      </c>
      <c r="Z464" s="6">
        <v>24512.86</v>
      </c>
      <c r="AA464" s="6">
        <v>294154.32</v>
      </c>
      <c r="AB464" s="4" t="s">
        <v>2232</v>
      </c>
      <c r="AC464" s="7" t="s">
        <v>2224</v>
      </c>
    </row>
    <row r="465" spans="1:29" ht="15" customHeight="1" collapsed="1" thickBot="1" x14ac:dyDescent="0.3">
      <c r="A465" s="20" t="str">
        <f>CONCATENATE("332"," - ","MR", " ","Sabata"," ", "Madeba")</f>
        <v>332 - MR Sabata Madeba</v>
      </c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2"/>
    </row>
    <row r="466" spans="1:29" ht="15" hidden="1" customHeight="1" outlineLevel="1" thickBot="1" x14ac:dyDescent="0.3">
      <c r="A466" s="4" t="s">
        <v>2972</v>
      </c>
      <c r="B466" s="4" t="s">
        <v>395</v>
      </c>
      <c r="C466" s="4" t="s">
        <v>2220</v>
      </c>
      <c r="D466" s="5">
        <v>42962.461111111108</v>
      </c>
      <c r="E466" s="4" t="s">
        <v>2221</v>
      </c>
      <c r="F466" s="4" t="s">
        <v>2222</v>
      </c>
      <c r="G466" s="4" t="s">
        <v>2014</v>
      </c>
      <c r="H466" s="4" t="s">
        <v>1139</v>
      </c>
      <c r="I466" s="4" t="s">
        <v>1518</v>
      </c>
      <c r="J466" s="4" t="s">
        <v>1517</v>
      </c>
      <c r="K466" s="5">
        <v>29281</v>
      </c>
      <c r="L466" s="4" t="s">
        <v>2973</v>
      </c>
      <c r="M466" s="4" t="s">
        <v>9</v>
      </c>
      <c r="N466" s="5">
        <v>41487</v>
      </c>
      <c r="O466" s="5" t="s">
        <v>2224</v>
      </c>
      <c r="P466" s="4" t="s">
        <v>2224</v>
      </c>
      <c r="Q466" s="4" t="s">
        <v>2974</v>
      </c>
      <c r="R466" s="4" t="s">
        <v>2226</v>
      </c>
      <c r="S466" s="4" t="s">
        <v>2227</v>
      </c>
      <c r="T466" s="4" t="s">
        <v>2228</v>
      </c>
      <c r="U466" s="4" t="s">
        <v>2229</v>
      </c>
      <c r="V466" s="4" t="s">
        <v>25</v>
      </c>
      <c r="W466" s="4" t="s">
        <v>2278</v>
      </c>
      <c r="X466" s="4" t="s">
        <v>2224</v>
      </c>
      <c r="Y466" s="4" t="s">
        <v>2423</v>
      </c>
      <c r="Z466" s="6">
        <v>5355.0716000000002</v>
      </c>
      <c r="AA466" s="6">
        <v>64260.86</v>
      </c>
      <c r="AB466" s="4" t="s">
        <v>2232</v>
      </c>
      <c r="AC466" s="7" t="s">
        <v>2224</v>
      </c>
    </row>
    <row r="467" spans="1:29" ht="15" customHeight="1" collapsed="1" thickBot="1" x14ac:dyDescent="0.3">
      <c r="A467" s="20" t="str">
        <f>CONCATENATE("333"," - ","MISS", " ","Makhosazana"," ", "Madela")</f>
        <v>333 - MISS Makhosazana Madela</v>
      </c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2"/>
    </row>
    <row r="468" spans="1:29" ht="15" hidden="1" customHeight="1" outlineLevel="1" thickBot="1" x14ac:dyDescent="0.3">
      <c r="A468" s="4" t="s">
        <v>2975</v>
      </c>
      <c r="B468" s="4" t="s">
        <v>531</v>
      </c>
      <c r="C468" s="4" t="s">
        <v>2220</v>
      </c>
      <c r="D468" s="5">
        <v>42962.461805555555</v>
      </c>
      <c r="E468" s="4" t="s">
        <v>2221</v>
      </c>
      <c r="F468" s="4" t="s">
        <v>2222</v>
      </c>
      <c r="G468" s="4" t="s">
        <v>2234</v>
      </c>
      <c r="H468" s="4" t="s">
        <v>969</v>
      </c>
      <c r="I468" s="4" t="s">
        <v>1793</v>
      </c>
      <c r="J468" s="4" t="s">
        <v>1792</v>
      </c>
      <c r="K468" s="5">
        <v>24292</v>
      </c>
      <c r="L468" s="4" t="s">
        <v>2976</v>
      </c>
      <c r="M468" s="4" t="s">
        <v>9</v>
      </c>
      <c r="N468" s="5">
        <v>42072</v>
      </c>
      <c r="O468" s="5" t="s">
        <v>2224</v>
      </c>
      <c r="P468" s="4" t="s">
        <v>2224</v>
      </c>
      <c r="Q468" s="4" t="s">
        <v>2977</v>
      </c>
      <c r="R468" s="4" t="s">
        <v>2226</v>
      </c>
      <c r="S468" s="4" t="s">
        <v>2227</v>
      </c>
      <c r="T468" s="4" t="s">
        <v>2228</v>
      </c>
      <c r="U468" s="4" t="s">
        <v>2229</v>
      </c>
      <c r="V468" s="4" t="s">
        <v>25</v>
      </c>
      <c r="W468" s="4" t="s">
        <v>2278</v>
      </c>
      <c r="X468" s="4" t="s">
        <v>2224</v>
      </c>
      <c r="Y468" s="4" t="s">
        <v>2394</v>
      </c>
      <c r="Z468" s="6">
        <v>10710.1538</v>
      </c>
      <c r="AA468" s="6">
        <v>128521.85</v>
      </c>
      <c r="AB468" s="4" t="s">
        <v>2232</v>
      </c>
      <c r="AC468" s="7" t="s">
        <v>2224</v>
      </c>
    </row>
    <row r="469" spans="1:29" ht="15" customHeight="1" collapsed="1" thickBot="1" x14ac:dyDescent="0.3">
      <c r="A469" s="20" t="str">
        <f>CONCATENATE("334"," - ","MISS", " ","Mbali"," ", "Madonsela")</f>
        <v>334 - MISS Mbali Madonsela</v>
      </c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2"/>
    </row>
    <row r="470" spans="1:29" ht="15" hidden="1" customHeight="1" outlineLevel="1" thickBot="1" x14ac:dyDescent="0.3">
      <c r="A470" s="4" t="s">
        <v>2978</v>
      </c>
      <c r="B470" s="4" t="s">
        <v>418</v>
      </c>
      <c r="C470" s="4" t="s">
        <v>2220</v>
      </c>
      <c r="D470" s="5">
        <v>42962.549999999996</v>
      </c>
      <c r="E470" s="4" t="s">
        <v>2221</v>
      </c>
      <c r="F470" s="4" t="s">
        <v>2222</v>
      </c>
      <c r="G470" s="4" t="s">
        <v>2234</v>
      </c>
      <c r="H470" s="4" t="s">
        <v>1563</v>
      </c>
      <c r="I470" s="4" t="s">
        <v>1564</v>
      </c>
      <c r="J470" s="4" t="s">
        <v>1562</v>
      </c>
      <c r="K470" s="5">
        <v>33885</v>
      </c>
      <c r="L470" s="4" t="s">
        <v>2979</v>
      </c>
      <c r="M470" s="4" t="s">
        <v>9</v>
      </c>
      <c r="N470" s="5">
        <v>41556</v>
      </c>
      <c r="O470" s="5" t="s">
        <v>2224</v>
      </c>
      <c r="P470" s="4" t="s">
        <v>2224</v>
      </c>
      <c r="Q470" s="4" t="s">
        <v>2980</v>
      </c>
      <c r="R470" s="4" t="s">
        <v>2226</v>
      </c>
      <c r="S470" s="4" t="s">
        <v>2227</v>
      </c>
      <c r="T470" s="4" t="s">
        <v>2228</v>
      </c>
      <c r="U470" s="4" t="s">
        <v>2237</v>
      </c>
      <c r="V470" s="4" t="s">
        <v>8</v>
      </c>
      <c r="W470" s="4" t="s">
        <v>2278</v>
      </c>
      <c r="X470" s="4" t="s">
        <v>2224</v>
      </c>
      <c r="Y470" s="4" t="s">
        <v>2239</v>
      </c>
      <c r="Z470" s="6">
        <v>16486.259999999998</v>
      </c>
      <c r="AA470" s="6">
        <v>197835.12</v>
      </c>
      <c r="AB470" s="4" t="s">
        <v>2232</v>
      </c>
      <c r="AC470" s="7" t="s">
        <v>2224</v>
      </c>
    </row>
    <row r="471" spans="1:29" ht="15" customHeight="1" collapsed="1" thickBot="1" x14ac:dyDescent="0.3">
      <c r="A471" s="20" t="str">
        <f>CONCATENATE("335"," - ","MISS", " ","Fortune"," ", "Madumo")</f>
        <v>335 - MISS Fortune Madumo</v>
      </c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2"/>
    </row>
    <row r="472" spans="1:29" ht="15" hidden="1" customHeight="1" outlineLevel="1" thickBot="1" x14ac:dyDescent="0.3">
      <c r="A472" s="4" t="s">
        <v>2981</v>
      </c>
      <c r="B472" s="4" t="s">
        <v>163</v>
      </c>
      <c r="C472" s="4" t="s">
        <v>2220</v>
      </c>
      <c r="D472" s="5">
        <v>42962.461805555555</v>
      </c>
      <c r="E472" s="4" t="s">
        <v>2221</v>
      </c>
      <c r="F472" s="4" t="s">
        <v>2222</v>
      </c>
      <c r="G472" s="4" t="s">
        <v>2234</v>
      </c>
      <c r="H472" s="4" t="s">
        <v>841</v>
      </c>
      <c r="I472" s="4" t="s">
        <v>1083</v>
      </c>
      <c r="J472" s="4" t="s">
        <v>1082</v>
      </c>
      <c r="K472" s="5">
        <v>31327</v>
      </c>
      <c r="L472" s="4" t="s">
        <v>2982</v>
      </c>
      <c r="M472" s="4" t="s">
        <v>9</v>
      </c>
      <c r="N472" s="5">
        <v>39387</v>
      </c>
      <c r="O472" s="5" t="s">
        <v>2224</v>
      </c>
      <c r="P472" s="4" t="s">
        <v>2224</v>
      </c>
      <c r="Q472" s="4" t="s">
        <v>2983</v>
      </c>
      <c r="R472" s="4" t="s">
        <v>2226</v>
      </c>
      <c r="S472" s="4" t="s">
        <v>2227</v>
      </c>
      <c r="T472" s="4" t="s">
        <v>2228</v>
      </c>
      <c r="U472" s="4" t="s">
        <v>2229</v>
      </c>
      <c r="V472" s="4" t="s">
        <v>25</v>
      </c>
      <c r="W472" s="4" t="s">
        <v>2278</v>
      </c>
      <c r="X472" s="4" t="s">
        <v>2224</v>
      </c>
      <c r="Y472" s="4" t="s">
        <v>2449</v>
      </c>
      <c r="Z472" s="6">
        <v>17112.251499999998</v>
      </c>
      <c r="AA472" s="6">
        <v>205347.02</v>
      </c>
      <c r="AB472" s="4" t="s">
        <v>2232</v>
      </c>
      <c r="AC472" s="7" t="s">
        <v>2224</v>
      </c>
    </row>
    <row r="473" spans="1:29" ht="15" customHeight="1" collapsed="1" thickBot="1" x14ac:dyDescent="0.3">
      <c r="A473" s="20" t="str">
        <f>CONCATENATE("336"," - ","MISS", " ","Gina"," ", "Maduray")</f>
        <v>336 - MISS Gina Maduray</v>
      </c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2"/>
    </row>
    <row r="474" spans="1:29" ht="15" hidden="1" customHeight="1" outlineLevel="1" thickBot="1" x14ac:dyDescent="0.3">
      <c r="A474" s="4" t="s">
        <v>2984</v>
      </c>
      <c r="B474" s="4" t="s">
        <v>479</v>
      </c>
      <c r="C474" s="4" t="s">
        <v>2220</v>
      </c>
      <c r="D474" s="5">
        <v>42962.461805555555</v>
      </c>
      <c r="E474" s="4" t="s">
        <v>2221</v>
      </c>
      <c r="F474" s="4" t="s">
        <v>2222</v>
      </c>
      <c r="G474" s="4" t="s">
        <v>2234</v>
      </c>
      <c r="H474" s="4" t="s">
        <v>805</v>
      </c>
      <c r="I474" s="4" t="s">
        <v>1692</v>
      </c>
      <c r="J474" s="4" t="s">
        <v>1691</v>
      </c>
      <c r="K474" s="5">
        <v>33665</v>
      </c>
      <c r="L474" s="4" t="s">
        <v>2985</v>
      </c>
      <c r="M474" s="4" t="s">
        <v>9</v>
      </c>
      <c r="N474" s="5">
        <v>41855</v>
      </c>
      <c r="O474" s="5" t="s">
        <v>2224</v>
      </c>
      <c r="P474" s="4" t="s">
        <v>2224</v>
      </c>
      <c r="Q474" s="4" t="s">
        <v>2986</v>
      </c>
      <c r="R474" s="4" t="s">
        <v>2226</v>
      </c>
      <c r="S474" s="4" t="s">
        <v>2227</v>
      </c>
      <c r="T474" s="4" t="s">
        <v>2228</v>
      </c>
      <c r="U474" s="4" t="s">
        <v>2229</v>
      </c>
      <c r="V474" s="4" t="s">
        <v>25</v>
      </c>
      <c r="W474" s="4" t="s">
        <v>2278</v>
      </c>
      <c r="X474" s="4" t="s">
        <v>2224</v>
      </c>
      <c r="Y474" s="4" t="s">
        <v>2394</v>
      </c>
      <c r="Z474" s="6">
        <v>10844.03</v>
      </c>
      <c r="AA474" s="6">
        <v>130128.36</v>
      </c>
      <c r="AB474" s="4" t="s">
        <v>2232</v>
      </c>
      <c r="AC474" s="7" t="s">
        <v>2224</v>
      </c>
    </row>
    <row r="475" spans="1:29" ht="15" customHeight="1" collapsed="1" thickBot="1" x14ac:dyDescent="0.3">
      <c r="A475" s="20" t="str">
        <f>CONCATENATE("337"," - ","MR", " ","Mpho"," ", "Mafanyolle")</f>
        <v>337 - MR Mpho Mafanyolle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2"/>
    </row>
    <row r="476" spans="1:29" ht="15" hidden="1" customHeight="1" outlineLevel="1" thickBot="1" x14ac:dyDescent="0.3">
      <c r="A476" s="4" t="s">
        <v>2987</v>
      </c>
      <c r="B476" s="4" t="s">
        <v>364</v>
      </c>
      <c r="C476" s="4" t="s">
        <v>2220</v>
      </c>
      <c r="D476" s="5">
        <v>42962.461805555555</v>
      </c>
      <c r="E476" s="4" t="s">
        <v>2221</v>
      </c>
      <c r="F476" s="4" t="s">
        <v>2222</v>
      </c>
      <c r="G476" s="4" t="s">
        <v>2014</v>
      </c>
      <c r="H476" s="4" t="s">
        <v>788</v>
      </c>
      <c r="I476" s="4" t="s">
        <v>1463</v>
      </c>
      <c r="J476" s="4" t="s">
        <v>1462</v>
      </c>
      <c r="K476" s="5">
        <v>30098</v>
      </c>
      <c r="L476" s="4" t="s">
        <v>2988</v>
      </c>
      <c r="M476" s="4" t="s">
        <v>9</v>
      </c>
      <c r="N476" s="5">
        <v>41334</v>
      </c>
      <c r="O476" s="5" t="s">
        <v>2224</v>
      </c>
      <c r="P476" s="4" t="s">
        <v>2224</v>
      </c>
      <c r="Q476" s="4" t="s">
        <v>2989</v>
      </c>
      <c r="R476" s="4" t="s">
        <v>2226</v>
      </c>
      <c r="S476" s="4" t="s">
        <v>2227</v>
      </c>
      <c r="T476" s="4" t="s">
        <v>2228</v>
      </c>
      <c r="U476" s="4" t="s">
        <v>2229</v>
      </c>
      <c r="V476" s="4" t="s">
        <v>25</v>
      </c>
      <c r="W476" s="4" t="s">
        <v>2278</v>
      </c>
      <c r="X476" s="4" t="s">
        <v>2224</v>
      </c>
      <c r="Y476" s="4" t="s">
        <v>2384</v>
      </c>
      <c r="Z476" s="6">
        <v>11116.82</v>
      </c>
      <c r="AA476" s="6">
        <v>133401.84</v>
      </c>
      <c r="AB476" s="4" t="s">
        <v>2232</v>
      </c>
      <c r="AC476" s="7" t="s">
        <v>2224</v>
      </c>
    </row>
    <row r="477" spans="1:29" ht="15" customHeight="1" collapsed="1" thickBot="1" x14ac:dyDescent="0.3">
      <c r="A477" s="20" t="str">
        <f>CONCATENATE("338"," - ","MISS", " ","Matshepo"," ", "Mafodi")</f>
        <v>338 - MISS Matshepo Mafodi</v>
      </c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2"/>
    </row>
    <row r="478" spans="1:29" ht="15" hidden="1" customHeight="1" outlineLevel="1" thickBot="1" x14ac:dyDescent="0.3">
      <c r="A478" s="4" t="s">
        <v>2990</v>
      </c>
      <c r="B478" s="4" t="s">
        <v>492</v>
      </c>
      <c r="C478" s="4" t="s">
        <v>2220</v>
      </c>
      <c r="D478" s="5">
        <v>42962.549999999996</v>
      </c>
      <c r="E478" s="4" t="s">
        <v>2221</v>
      </c>
      <c r="F478" s="4" t="s">
        <v>2222</v>
      </c>
      <c r="G478" s="4" t="s">
        <v>2234</v>
      </c>
      <c r="H478" s="4" t="s">
        <v>788</v>
      </c>
      <c r="I478" s="4" t="s">
        <v>1716</v>
      </c>
      <c r="J478" s="4" t="s">
        <v>1715</v>
      </c>
      <c r="K478" s="5">
        <v>32856</v>
      </c>
      <c r="L478" s="4" t="s">
        <v>2991</v>
      </c>
      <c r="M478" s="4" t="s">
        <v>9</v>
      </c>
      <c r="N478" s="5">
        <v>41928</v>
      </c>
      <c r="O478" s="5" t="s">
        <v>2224</v>
      </c>
      <c r="P478" s="4" t="s">
        <v>2224</v>
      </c>
      <c r="Q478" s="4" t="s">
        <v>2992</v>
      </c>
      <c r="R478" s="4" t="s">
        <v>2226</v>
      </c>
      <c r="S478" s="4" t="s">
        <v>2227</v>
      </c>
      <c r="T478" s="4" t="s">
        <v>2228</v>
      </c>
      <c r="U478" s="4" t="s">
        <v>2237</v>
      </c>
      <c r="V478" s="4" t="s">
        <v>8</v>
      </c>
      <c r="W478" s="4" t="s">
        <v>2278</v>
      </c>
      <c r="X478" s="4" t="s">
        <v>2224</v>
      </c>
      <c r="Y478" s="4" t="s">
        <v>2239</v>
      </c>
      <c r="Z478" s="6">
        <v>16282.72</v>
      </c>
      <c r="AA478" s="6">
        <v>195392.64000000001</v>
      </c>
      <c r="AB478" s="4" t="s">
        <v>2232</v>
      </c>
      <c r="AC478" s="7" t="s">
        <v>2224</v>
      </c>
    </row>
    <row r="479" spans="1:29" ht="15" customHeight="1" collapsed="1" thickBot="1" x14ac:dyDescent="0.3">
      <c r="A479" s="20" t="str">
        <f>CONCATENATE("339"," - ","MISS", " ","Busisiwe"," ", "Mafu")</f>
        <v>339 - MISS Busisiwe Mafu</v>
      </c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2"/>
    </row>
    <row r="480" spans="1:29" ht="15" hidden="1" customHeight="1" outlineLevel="1" thickBot="1" x14ac:dyDescent="0.3">
      <c r="A480" s="4" t="s">
        <v>2993</v>
      </c>
      <c r="B480" s="4" t="s">
        <v>476</v>
      </c>
      <c r="C480" s="4" t="s">
        <v>2220</v>
      </c>
      <c r="D480" s="5">
        <v>42962.549999999996</v>
      </c>
      <c r="E480" s="4" t="s">
        <v>2221</v>
      </c>
      <c r="F480" s="4" t="s">
        <v>2222</v>
      </c>
      <c r="G480" s="4" t="s">
        <v>2234</v>
      </c>
      <c r="H480" s="4" t="s">
        <v>791</v>
      </c>
      <c r="I480" s="4" t="s">
        <v>1081</v>
      </c>
      <c r="J480" s="4" t="s">
        <v>1687</v>
      </c>
      <c r="K480" s="5">
        <v>33818</v>
      </c>
      <c r="L480" s="4" t="s">
        <v>2994</v>
      </c>
      <c r="M480" s="4" t="s">
        <v>9</v>
      </c>
      <c r="N480" s="5">
        <v>41855</v>
      </c>
      <c r="O480" s="5" t="s">
        <v>2224</v>
      </c>
      <c r="P480" s="4" t="s">
        <v>2224</v>
      </c>
      <c r="Q480" s="4" t="s">
        <v>2995</v>
      </c>
      <c r="R480" s="4" t="s">
        <v>2226</v>
      </c>
      <c r="S480" s="4" t="s">
        <v>2227</v>
      </c>
      <c r="T480" s="4" t="s">
        <v>2228</v>
      </c>
      <c r="U480" s="4" t="s">
        <v>2237</v>
      </c>
      <c r="V480" s="4" t="s">
        <v>8</v>
      </c>
      <c r="W480" s="4" t="s">
        <v>2278</v>
      </c>
      <c r="X480" s="4" t="s">
        <v>2224</v>
      </c>
      <c r="Y480" s="4" t="s">
        <v>2239</v>
      </c>
      <c r="Z480" s="6">
        <v>8243.1299999999992</v>
      </c>
      <c r="AA480" s="6">
        <v>98917.56</v>
      </c>
      <c r="AB480" s="4" t="s">
        <v>2232</v>
      </c>
      <c r="AC480" s="7" t="s">
        <v>2224</v>
      </c>
    </row>
    <row r="481" spans="1:29" ht="15" customHeight="1" collapsed="1" thickBot="1" x14ac:dyDescent="0.3">
      <c r="A481" s="20" t="str">
        <f>CONCATENATE("34"," - ","MS", " ","Mmabatho"," ", "Aphane")</f>
        <v>34 - MS Mmabatho Aphane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2"/>
    </row>
    <row r="482" spans="1:29" ht="15" hidden="1" customHeight="1" outlineLevel="1" thickBot="1" x14ac:dyDescent="0.3">
      <c r="A482" s="4" t="s">
        <v>2996</v>
      </c>
      <c r="B482" s="4" t="s">
        <v>678</v>
      </c>
      <c r="C482" s="4" t="s">
        <v>2220</v>
      </c>
      <c r="D482" s="5">
        <v>42962.462500000001</v>
      </c>
      <c r="E482" s="4" t="s">
        <v>2221</v>
      </c>
      <c r="F482" s="4" t="s">
        <v>2222</v>
      </c>
      <c r="G482" s="4" t="s">
        <v>813</v>
      </c>
      <c r="H482" s="4" t="s">
        <v>788</v>
      </c>
      <c r="I482" s="4" t="s">
        <v>2028</v>
      </c>
      <c r="J482" s="4" t="s">
        <v>2027</v>
      </c>
      <c r="K482" s="5">
        <v>34617</v>
      </c>
      <c r="L482" s="4" t="s">
        <v>2997</v>
      </c>
      <c r="M482" s="4" t="s">
        <v>9</v>
      </c>
      <c r="N482" s="5">
        <v>42072</v>
      </c>
      <c r="O482" s="5" t="s">
        <v>2224</v>
      </c>
      <c r="P482" s="4" t="s">
        <v>2224</v>
      </c>
      <c r="Q482" s="4" t="s">
        <v>2998</v>
      </c>
      <c r="R482" s="4" t="s">
        <v>2226</v>
      </c>
      <c r="S482" s="4" t="s">
        <v>2227</v>
      </c>
      <c r="T482" s="4" t="s">
        <v>2228</v>
      </c>
      <c r="U482" s="4" t="s">
        <v>2229</v>
      </c>
      <c r="V482" s="4" t="s">
        <v>116</v>
      </c>
      <c r="W482" s="4" t="s">
        <v>2249</v>
      </c>
      <c r="X482" s="4" t="s">
        <v>2224</v>
      </c>
      <c r="Y482" s="4" t="s">
        <v>2549</v>
      </c>
      <c r="Z482" s="6">
        <v>26469.989399999999</v>
      </c>
      <c r="AA482" s="6">
        <v>317639.87</v>
      </c>
      <c r="AB482" s="4" t="s">
        <v>2232</v>
      </c>
      <c r="AC482" s="7" t="s">
        <v>2224</v>
      </c>
    </row>
    <row r="483" spans="1:29" ht="15" customHeight="1" collapsed="1" thickBot="1" x14ac:dyDescent="0.3">
      <c r="A483" s="20" t="str">
        <f>CONCATENATE("340"," - ","MISS", " ","Yondela"," ", "Magazi")</f>
        <v>340 - MISS Yondela Magazi</v>
      </c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2"/>
    </row>
    <row r="484" spans="1:29" ht="15" hidden="1" customHeight="1" outlineLevel="1" thickBot="1" x14ac:dyDescent="0.3">
      <c r="A484" s="4" t="s">
        <v>2999</v>
      </c>
      <c r="B484" s="4" t="s">
        <v>390</v>
      </c>
      <c r="C484" s="4" t="s">
        <v>2220</v>
      </c>
      <c r="D484" s="5">
        <v>42961.339583333334</v>
      </c>
      <c r="E484" s="4" t="s">
        <v>2221</v>
      </c>
      <c r="F484" s="4" t="s">
        <v>2222</v>
      </c>
      <c r="G484" s="4" t="s">
        <v>2234</v>
      </c>
      <c r="H484" s="4" t="s">
        <v>1507</v>
      </c>
      <c r="I484" s="4" t="s">
        <v>1508</v>
      </c>
      <c r="J484" s="4" t="s">
        <v>1506</v>
      </c>
      <c r="K484" s="5">
        <v>32567</v>
      </c>
      <c r="L484" s="4" t="s">
        <v>3000</v>
      </c>
      <c r="M484" s="4" t="s">
        <v>9</v>
      </c>
      <c r="N484" s="5">
        <v>41487</v>
      </c>
      <c r="O484" s="5" t="s">
        <v>2224</v>
      </c>
      <c r="P484" s="4" t="s">
        <v>2224</v>
      </c>
      <c r="Q484" s="4" t="s">
        <v>3001</v>
      </c>
      <c r="R484" s="4" t="s">
        <v>2226</v>
      </c>
      <c r="S484" s="4" t="s">
        <v>2227</v>
      </c>
      <c r="T484" s="4" t="s">
        <v>2228</v>
      </c>
      <c r="U484" s="4" t="s">
        <v>2229</v>
      </c>
      <c r="V484" s="4" t="s">
        <v>25</v>
      </c>
      <c r="W484" s="4" t="s">
        <v>2278</v>
      </c>
      <c r="X484" s="4" t="s">
        <v>2224</v>
      </c>
      <c r="Y484" s="4" t="s">
        <v>2384</v>
      </c>
      <c r="Z484" s="6">
        <v>11116.82</v>
      </c>
      <c r="AA484" s="6">
        <v>133401.84</v>
      </c>
      <c r="AB484" s="4" t="s">
        <v>2232</v>
      </c>
      <c r="AC484" s="7" t="s">
        <v>2224</v>
      </c>
    </row>
    <row r="485" spans="1:29" ht="15" customHeight="1" collapsed="1" thickBot="1" x14ac:dyDescent="0.3">
      <c r="A485" s="20" t="str">
        <f>CONCATENATE("341"," - ","MISS", " ","Tebatso"," ", "Mahamba")</f>
        <v>341 - MISS Tebatso Mahamba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2"/>
    </row>
    <row r="486" spans="1:29" ht="15" hidden="1" customHeight="1" outlineLevel="1" thickBot="1" x14ac:dyDescent="0.3">
      <c r="A486" s="4" t="s">
        <v>3002</v>
      </c>
      <c r="B486" s="4" t="s">
        <v>548</v>
      </c>
      <c r="C486" s="4" t="s">
        <v>2220</v>
      </c>
      <c r="D486" s="5">
        <v>42962.549999999996</v>
      </c>
      <c r="E486" s="4" t="s">
        <v>2221</v>
      </c>
      <c r="F486" s="4" t="s">
        <v>2222</v>
      </c>
      <c r="G486" s="4" t="s">
        <v>2234</v>
      </c>
      <c r="H486" s="4" t="s">
        <v>819</v>
      </c>
      <c r="I486" s="4" t="s">
        <v>1820</v>
      </c>
      <c r="J486" s="4" t="s">
        <v>1819</v>
      </c>
      <c r="K486" s="5">
        <v>32750</v>
      </c>
      <c r="L486" s="4" t="s">
        <v>3003</v>
      </c>
      <c r="M486" s="4" t="s">
        <v>9</v>
      </c>
      <c r="N486" s="5">
        <v>42072</v>
      </c>
      <c r="O486" s="5" t="s">
        <v>2224</v>
      </c>
      <c r="P486" s="4" t="s">
        <v>2224</v>
      </c>
      <c r="Q486" s="4" t="s">
        <v>2552</v>
      </c>
      <c r="R486" s="4" t="s">
        <v>2226</v>
      </c>
      <c r="S486" s="4" t="s">
        <v>2227</v>
      </c>
      <c r="T486" s="4" t="s">
        <v>2228</v>
      </c>
      <c r="U486" s="4" t="s">
        <v>2237</v>
      </c>
      <c r="V486" s="4" t="s">
        <v>8</v>
      </c>
      <c r="W486" s="4" t="s">
        <v>2278</v>
      </c>
      <c r="X486" s="4" t="s">
        <v>2224</v>
      </c>
      <c r="Y486" s="4" t="s">
        <v>2239</v>
      </c>
      <c r="Z486" s="6">
        <v>16081.7</v>
      </c>
      <c r="AA486" s="6">
        <v>192980.4</v>
      </c>
      <c r="AB486" s="4" t="s">
        <v>2232</v>
      </c>
      <c r="AC486" s="7" t="s">
        <v>2224</v>
      </c>
    </row>
    <row r="487" spans="1:29" ht="15" customHeight="1" collapsed="1" thickBot="1" x14ac:dyDescent="0.3">
      <c r="A487" s="20" t="str">
        <f>CONCATENATE("342"," - ","MISS", " ","Nombuso"," ", "Mahlangu")</f>
        <v>342 - MISS Nombuso Mahlangu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2"/>
    </row>
    <row r="488" spans="1:29" ht="15" hidden="1" customHeight="1" outlineLevel="1" thickBot="1" x14ac:dyDescent="0.3">
      <c r="A488" s="4" t="s">
        <v>3004</v>
      </c>
      <c r="B488" s="4" t="s">
        <v>369</v>
      </c>
      <c r="C488" s="4" t="s">
        <v>2220</v>
      </c>
      <c r="D488" s="5">
        <v>42962.549999999996</v>
      </c>
      <c r="E488" s="4" t="s">
        <v>2221</v>
      </c>
      <c r="F488" s="4" t="s">
        <v>2222</v>
      </c>
      <c r="G488" s="4" t="s">
        <v>2234</v>
      </c>
      <c r="H488" s="4" t="s">
        <v>797</v>
      </c>
      <c r="I488" s="4" t="s">
        <v>1471</v>
      </c>
      <c r="J488" s="4" t="s">
        <v>1260</v>
      </c>
      <c r="K488" s="5">
        <v>32598</v>
      </c>
      <c r="L488" s="4" t="s">
        <v>3005</v>
      </c>
      <c r="M488" s="4" t="s">
        <v>9</v>
      </c>
      <c r="N488" s="5">
        <v>41351</v>
      </c>
      <c r="O488" s="5" t="s">
        <v>2224</v>
      </c>
      <c r="P488" s="4" t="s">
        <v>2224</v>
      </c>
      <c r="Q488" s="4" t="s">
        <v>3006</v>
      </c>
      <c r="R488" s="4" t="s">
        <v>2226</v>
      </c>
      <c r="S488" s="4" t="s">
        <v>2227</v>
      </c>
      <c r="T488" s="4" t="s">
        <v>2228</v>
      </c>
      <c r="U488" s="4" t="s">
        <v>2237</v>
      </c>
      <c r="V488" s="4" t="s">
        <v>125</v>
      </c>
      <c r="W488" s="4" t="s">
        <v>2230</v>
      </c>
      <c r="X488" s="4" t="s">
        <v>2224</v>
      </c>
      <c r="Y488" s="4" t="s">
        <v>2239</v>
      </c>
      <c r="Z488" s="6">
        <v>20646.896499999999</v>
      </c>
      <c r="AA488" s="6">
        <v>247762.76</v>
      </c>
      <c r="AB488" s="4" t="s">
        <v>2232</v>
      </c>
      <c r="AC488" s="7" t="s">
        <v>2224</v>
      </c>
    </row>
    <row r="489" spans="1:29" ht="15" customHeight="1" collapsed="1" thickBot="1" x14ac:dyDescent="0.3">
      <c r="A489" s="20" t="str">
        <f>CONCATENATE("343"," - ","MISS", " ","Tebogo"," ", "Mahlangu")</f>
        <v>343 - MISS Tebogo Mahlangu</v>
      </c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2"/>
    </row>
    <row r="490" spans="1:29" ht="15" hidden="1" customHeight="1" outlineLevel="1" thickBot="1" x14ac:dyDescent="0.3">
      <c r="A490" s="4" t="s">
        <v>3007</v>
      </c>
      <c r="B490" s="4" t="s">
        <v>253</v>
      </c>
      <c r="C490" s="4" t="s">
        <v>2220</v>
      </c>
      <c r="D490" s="5">
        <v>42962.462500000001</v>
      </c>
      <c r="E490" s="4" t="s">
        <v>2221</v>
      </c>
      <c r="F490" s="4" t="s">
        <v>2222</v>
      </c>
      <c r="G490" s="4" t="s">
        <v>2234</v>
      </c>
      <c r="H490" s="4" t="s">
        <v>1261</v>
      </c>
      <c r="I490" s="4" t="s">
        <v>1262</v>
      </c>
      <c r="J490" s="4" t="s">
        <v>1260</v>
      </c>
      <c r="K490" s="5">
        <v>24809</v>
      </c>
      <c r="L490" s="4" t="s">
        <v>3008</v>
      </c>
      <c r="M490" s="4" t="s">
        <v>9</v>
      </c>
      <c r="N490" s="5">
        <v>40529</v>
      </c>
      <c r="O490" s="5" t="s">
        <v>2224</v>
      </c>
      <c r="P490" s="4" t="s">
        <v>2224</v>
      </c>
      <c r="Q490" s="4" t="s">
        <v>3009</v>
      </c>
      <c r="R490" s="4" t="s">
        <v>2226</v>
      </c>
      <c r="S490" s="4" t="s">
        <v>2227</v>
      </c>
      <c r="T490" s="4" t="s">
        <v>2228</v>
      </c>
      <c r="U490" s="4" t="s">
        <v>2248</v>
      </c>
      <c r="V490" s="4" t="s">
        <v>252</v>
      </c>
      <c r="W490" s="4" t="s">
        <v>2468</v>
      </c>
      <c r="X490" s="4" t="s">
        <v>2224</v>
      </c>
      <c r="Y490" s="4" t="s">
        <v>3010</v>
      </c>
      <c r="Z490" s="6">
        <v>5113.2734</v>
      </c>
      <c r="AA490" s="6">
        <v>61359.28</v>
      </c>
      <c r="AB490" s="4" t="s">
        <v>2232</v>
      </c>
      <c r="AC490" s="7" t="s">
        <v>2224</v>
      </c>
    </row>
    <row r="491" spans="1:29" ht="15" customHeight="1" collapsed="1" thickBot="1" x14ac:dyDescent="0.3">
      <c r="A491" s="20" t="str">
        <f>CONCATENATE("344"," - ","MR", " ","Mahmood"," ", "Mahmood")</f>
        <v>344 - MR Mahmood Mahmood</v>
      </c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2"/>
    </row>
    <row r="492" spans="1:29" ht="15" hidden="1" customHeight="1" outlineLevel="1" thickBot="1" x14ac:dyDescent="0.3">
      <c r="A492" s="4" t="s">
        <v>3011</v>
      </c>
      <c r="B492" s="4" t="s">
        <v>624</v>
      </c>
      <c r="C492" s="4" t="s">
        <v>2220</v>
      </c>
      <c r="D492" s="5">
        <v>42962.462500000001</v>
      </c>
      <c r="E492" s="4" t="s">
        <v>2221</v>
      </c>
      <c r="F492" s="4" t="s">
        <v>2222</v>
      </c>
      <c r="G492" s="4" t="s">
        <v>2014</v>
      </c>
      <c r="H492" s="4" t="s">
        <v>788</v>
      </c>
      <c r="I492" s="4" t="s">
        <v>1943</v>
      </c>
      <c r="J492" s="4" t="s">
        <v>1943</v>
      </c>
      <c r="K492" s="5">
        <v>29361</v>
      </c>
      <c r="L492" s="4" t="s">
        <v>3012</v>
      </c>
      <c r="M492" s="4" t="s">
        <v>9</v>
      </c>
      <c r="N492" s="5">
        <v>42278</v>
      </c>
      <c r="O492" s="5" t="s">
        <v>2224</v>
      </c>
      <c r="P492" s="4" t="s">
        <v>2224</v>
      </c>
      <c r="Q492" s="4" t="s">
        <v>3013</v>
      </c>
      <c r="R492" s="4" t="s">
        <v>2226</v>
      </c>
      <c r="S492" s="4" t="s">
        <v>2227</v>
      </c>
      <c r="T492" s="4" t="s">
        <v>2228</v>
      </c>
      <c r="U492" s="4" t="s">
        <v>2248</v>
      </c>
      <c r="V492" s="4" t="s">
        <v>46</v>
      </c>
      <c r="W492" s="4" t="s">
        <v>2249</v>
      </c>
      <c r="X492" s="4" t="s">
        <v>2224</v>
      </c>
      <c r="Y492" s="4" t="s">
        <v>3014</v>
      </c>
      <c r="Z492" s="6">
        <v>58922.22</v>
      </c>
      <c r="AA492" s="6">
        <v>707066.64</v>
      </c>
      <c r="AB492" s="4" t="s">
        <v>2232</v>
      </c>
      <c r="AC492" s="7" t="s">
        <v>2224</v>
      </c>
    </row>
    <row r="493" spans="1:29" ht="15" customHeight="1" collapsed="1" thickBot="1" x14ac:dyDescent="0.3">
      <c r="A493" s="20" t="str">
        <f>CONCATENATE("345"," - ","MR", " ","Yusuf"," ", "Mahomed")</f>
        <v>345 - MR Yusuf Mahomed</v>
      </c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2"/>
    </row>
    <row r="494" spans="1:29" ht="15" hidden="1" customHeight="1" outlineLevel="1" thickBot="1" x14ac:dyDescent="0.3">
      <c r="A494" s="4" t="s">
        <v>3015</v>
      </c>
      <c r="B494" s="4" t="s">
        <v>16</v>
      </c>
      <c r="C494" s="4" t="s">
        <v>2220</v>
      </c>
      <c r="D494" s="5">
        <v>42962.461805555555</v>
      </c>
      <c r="E494" s="4" t="s">
        <v>2221</v>
      </c>
      <c r="F494" s="4" t="s">
        <v>2222</v>
      </c>
      <c r="G494" s="4" t="s">
        <v>2014</v>
      </c>
      <c r="H494" s="4" t="s">
        <v>794</v>
      </c>
      <c r="I494" s="4" t="s">
        <v>795</v>
      </c>
      <c r="J494" s="4" t="s">
        <v>793</v>
      </c>
      <c r="K494" s="5">
        <v>26472</v>
      </c>
      <c r="L494" s="4" t="s">
        <v>3016</v>
      </c>
      <c r="M494" s="4" t="s">
        <v>9</v>
      </c>
      <c r="N494" s="5">
        <v>38971</v>
      </c>
      <c r="O494" s="5" t="s">
        <v>2224</v>
      </c>
      <c r="P494" s="4" t="s">
        <v>2224</v>
      </c>
      <c r="Q494" s="4" t="s">
        <v>3017</v>
      </c>
      <c r="R494" s="4" t="s">
        <v>2226</v>
      </c>
      <c r="S494" s="4" t="s">
        <v>2227</v>
      </c>
      <c r="T494" s="4" t="s">
        <v>2228</v>
      </c>
      <c r="U494" s="4" t="s">
        <v>2248</v>
      </c>
      <c r="V494" s="4" t="s">
        <v>17</v>
      </c>
      <c r="W494" s="4" t="s">
        <v>3018</v>
      </c>
      <c r="X494" s="4" t="s">
        <v>2224</v>
      </c>
      <c r="Y494" s="4" t="s">
        <v>2621</v>
      </c>
      <c r="Z494" s="6">
        <v>21430.874299999999</v>
      </c>
      <c r="AA494" s="6">
        <v>257170.49</v>
      </c>
      <c r="AB494" s="4" t="s">
        <v>2232</v>
      </c>
      <c r="AC494" s="7" t="s">
        <v>2224</v>
      </c>
    </row>
    <row r="495" spans="1:29" ht="15" customHeight="1" collapsed="1" thickBot="1" x14ac:dyDescent="0.3">
      <c r="A495" s="20" t="str">
        <f>CONCATENATE("346"," - ","MR", " ","Rylee"," ", "Maistry")</f>
        <v>346 - MR Rylee Maistry</v>
      </c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2"/>
    </row>
    <row r="496" spans="1:29" ht="15" hidden="1" customHeight="1" outlineLevel="1" thickBot="1" x14ac:dyDescent="0.3">
      <c r="A496" s="4" t="s">
        <v>3019</v>
      </c>
      <c r="B496" s="4" t="s">
        <v>3020</v>
      </c>
      <c r="C496" s="4" t="s">
        <v>2220</v>
      </c>
      <c r="D496" s="5">
        <v>42948.650694444441</v>
      </c>
      <c r="E496" s="4" t="s">
        <v>2221</v>
      </c>
      <c r="F496" s="4" t="s">
        <v>2222</v>
      </c>
      <c r="G496" s="4" t="s">
        <v>2014</v>
      </c>
      <c r="H496" s="4" t="s">
        <v>1598</v>
      </c>
      <c r="I496" s="4" t="s">
        <v>3021</v>
      </c>
      <c r="J496" s="4" t="s">
        <v>3022</v>
      </c>
      <c r="K496" s="5">
        <v>34114</v>
      </c>
      <c r="L496" s="4" t="s">
        <v>3023</v>
      </c>
      <c r="M496" s="4" t="s">
        <v>2505</v>
      </c>
      <c r="N496" s="5">
        <v>42494</v>
      </c>
      <c r="O496" s="5">
        <v>42939</v>
      </c>
      <c r="P496" s="4" t="s">
        <v>2441</v>
      </c>
      <c r="Q496" s="4" t="s">
        <v>3024</v>
      </c>
      <c r="R496" s="4" t="s">
        <v>2224</v>
      </c>
      <c r="S496" s="4" t="s">
        <v>2227</v>
      </c>
      <c r="T496" s="4" t="s">
        <v>2228</v>
      </c>
      <c r="U496" s="4" t="s">
        <v>2237</v>
      </c>
      <c r="V496" s="4" t="s">
        <v>8</v>
      </c>
      <c r="W496" s="4" t="s">
        <v>2278</v>
      </c>
      <c r="X496" s="4" t="s">
        <v>2224</v>
      </c>
      <c r="Y496" s="4" t="s">
        <v>2224</v>
      </c>
      <c r="Z496" s="6">
        <v>0</v>
      </c>
      <c r="AA496" s="6">
        <v>0</v>
      </c>
      <c r="AB496" s="4" t="s">
        <v>2232</v>
      </c>
      <c r="AC496" s="7" t="s">
        <v>2244</v>
      </c>
    </row>
    <row r="497" spans="1:29" ht="15" customHeight="1" collapsed="1" thickBot="1" x14ac:dyDescent="0.3">
      <c r="A497" s="20" t="str">
        <f>CONCATENATE("348"," - ","MR", " ","Ndumiso"," ", "Makhanya")</f>
        <v>348 - MR Ndumiso Makhanya</v>
      </c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2"/>
    </row>
    <row r="498" spans="1:29" ht="15" hidden="1" customHeight="1" outlineLevel="1" thickBot="1" x14ac:dyDescent="0.3">
      <c r="A498" s="4" t="s">
        <v>3025</v>
      </c>
      <c r="B498" s="4" t="s">
        <v>597</v>
      </c>
      <c r="C498" s="4" t="s">
        <v>2220</v>
      </c>
      <c r="D498" s="5">
        <v>42962.463194444441</v>
      </c>
      <c r="E498" s="4" t="s">
        <v>2221</v>
      </c>
      <c r="F498" s="4" t="s">
        <v>2222</v>
      </c>
      <c r="G498" s="4" t="s">
        <v>2014</v>
      </c>
      <c r="H498" s="4" t="s">
        <v>1235</v>
      </c>
      <c r="I498" s="4" t="s">
        <v>1905</v>
      </c>
      <c r="J498" s="4" t="s">
        <v>1904</v>
      </c>
      <c r="K498" s="5">
        <v>31832</v>
      </c>
      <c r="L498" s="4" t="s">
        <v>3026</v>
      </c>
      <c r="M498" s="4" t="s">
        <v>9</v>
      </c>
      <c r="N498" s="5">
        <v>42186</v>
      </c>
      <c r="O498" s="5" t="s">
        <v>2224</v>
      </c>
      <c r="P498" s="4" t="s">
        <v>2224</v>
      </c>
      <c r="Q498" s="4" t="s">
        <v>3027</v>
      </c>
      <c r="R498" s="4" t="s">
        <v>2226</v>
      </c>
      <c r="S498" s="4" t="s">
        <v>2227</v>
      </c>
      <c r="T498" s="4" t="s">
        <v>2228</v>
      </c>
      <c r="U498" s="4" t="s">
        <v>2248</v>
      </c>
      <c r="V498" s="4" t="s">
        <v>598</v>
      </c>
      <c r="W498" s="4" t="s">
        <v>2230</v>
      </c>
      <c r="X498" s="4" t="s">
        <v>2224</v>
      </c>
      <c r="Y498" s="4" t="s">
        <v>2283</v>
      </c>
      <c r="Z498" s="6">
        <v>50028.3</v>
      </c>
      <c r="AA498" s="6">
        <v>600339.6</v>
      </c>
      <c r="AB498" s="4" t="s">
        <v>2232</v>
      </c>
      <c r="AC498" s="7" t="s">
        <v>2224</v>
      </c>
    </row>
    <row r="499" spans="1:29" ht="15" customHeight="1" collapsed="1" thickBot="1" x14ac:dyDescent="0.3">
      <c r="A499" s="20" t="str">
        <f>CONCATENATE("349"," - ","MS", " ","Khabane"," ", "Makhubedu")</f>
        <v>349 - MS Khabane Makhubedu</v>
      </c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2"/>
    </row>
    <row r="500" spans="1:29" ht="15" hidden="1" customHeight="1" outlineLevel="1" thickBot="1" x14ac:dyDescent="0.3">
      <c r="A500" s="4" t="s">
        <v>3028</v>
      </c>
      <c r="B500" s="4" t="s">
        <v>769</v>
      </c>
      <c r="C500" s="4" t="s">
        <v>2220</v>
      </c>
      <c r="D500" s="5">
        <v>42962.549999999996</v>
      </c>
      <c r="E500" s="4" t="s">
        <v>2221</v>
      </c>
      <c r="F500" s="4" t="s">
        <v>2222</v>
      </c>
      <c r="G500" s="4" t="s">
        <v>813</v>
      </c>
      <c r="H500" s="4" t="s">
        <v>1620</v>
      </c>
      <c r="I500" s="4" t="s">
        <v>2189</v>
      </c>
      <c r="J500" s="4" t="s">
        <v>2188</v>
      </c>
      <c r="K500" s="5">
        <v>35893</v>
      </c>
      <c r="L500" s="4" t="s">
        <v>3029</v>
      </c>
      <c r="M500" s="4" t="s">
        <v>9</v>
      </c>
      <c r="N500" s="5">
        <v>42887</v>
      </c>
      <c r="O500" s="5" t="s">
        <v>2224</v>
      </c>
      <c r="P500" s="4" t="s">
        <v>2224</v>
      </c>
      <c r="Q500" s="4" t="s">
        <v>3030</v>
      </c>
      <c r="R500" s="4" t="s">
        <v>2226</v>
      </c>
      <c r="S500" s="4" t="s">
        <v>2227</v>
      </c>
      <c r="T500" s="4" t="s">
        <v>2228</v>
      </c>
      <c r="U500" s="4" t="s">
        <v>2237</v>
      </c>
      <c r="V500" s="4" t="s">
        <v>8</v>
      </c>
      <c r="W500" s="4" t="s">
        <v>2238</v>
      </c>
      <c r="X500" s="4" t="s">
        <v>2224</v>
      </c>
      <c r="Y500" s="4" t="s">
        <v>2224</v>
      </c>
      <c r="Z500" s="6">
        <v>15883.16</v>
      </c>
      <c r="AA500" s="6">
        <v>190597.92</v>
      </c>
      <c r="AB500" s="4" t="s">
        <v>2224</v>
      </c>
      <c r="AC500" s="7" t="s">
        <v>2244</v>
      </c>
    </row>
    <row r="501" spans="1:29" ht="15" customHeight="1" collapsed="1" thickBot="1" x14ac:dyDescent="0.3">
      <c r="A501" s="20" t="str">
        <f>CONCATENATE("35"," - ","MR", " ","Trevor"," ", "Arnold")</f>
        <v>35 - MR Trevor Arnold</v>
      </c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2"/>
    </row>
    <row r="502" spans="1:29" ht="15" hidden="1" customHeight="1" outlineLevel="1" thickBot="1" x14ac:dyDescent="0.3">
      <c r="A502" s="4" t="s">
        <v>3031</v>
      </c>
      <c r="B502" s="4" t="s">
        <v>405</v>
      </c>
      <c r="C502" s="4" t="s">
        <v>2220</v>
      </c>
      <c r="D502" s="5">
        <v>42963.286805555552</v>
      </c>
      <c r="E502" s="4" t="s">
        <v>2221</v>
      </c>
      <c r="F502" s="4" t="s">
        <v>2222</v>
      </c>
      <c r="G502" s="4" t="s">
        <v>2014</v>
      </c>
      <c r="H502" s="4" t="s">
        <v>1536</v>
      </c>
      <c r="I502" s="4" t="s">
        <v>1537</v>
      </c>
      <c r="J502" s="4" t="s">
        <v>1535</v>
      </c>
      <c r="K502" s="5">
        <v>20804</v>
      </c>
      <c r="L502" s="4" t="s">
        <v>3032</v>
      </c>
      <c r="M502" s="4" t="s">
        <v>9</v>
      </c>
      <c r="N502" s="5">
        <v>41519</v>
      </c>
      <c r="O502" s="5" t="s">
        <v>2224</v>
      </c>
      <c r="P502" s="4" t="s">
        <v>2224</v>
      </c>
      <c r="Q502" s="4" t="s">
        <v>3033</v>
      </c>
      <c r="R502" s="4" t="s">
        <v>2226</v>
      </c>
      <c r="S502" s="4" t="s">
        <v>2227</v>
      </c>
      <c r="T502" s="4" t="s">
        <v>2228</v>
      </c>
      <c r="U502" s="4" t="s">
        <v>2258</v>
      </c>
      <c r="V502" s="4" t="s">
        <v>13</v>
      </c>
      <c r="W502" s="4" t="s">
        <v>2249</v>
      </c>
      <c r="X502" s="4" t="s">
        <v>2224</v>
      </c>
      <c r="Y502" s="4" t="s">
        <v>2259</v>
      </c>
      <c r="Z502" s="6">
        <v>111990.9564</v>
      </c>
      <c r="AA502" s="6">
        <v>1343891.48</v>
      </c>
      <c r="AB502" s="4" t="s">
        <v>2232</v>
      </c>
      <c r="AC502" s="7" t="s">
        <v>2224</v>
      </c>
    </row>
    <row r="503" spans="1:29" ht="15" customHeight="1" collapsed="1" thickBot="1" x14ac:dyDescent="0.3">
      <c r="A503" s="20" t="str">
        <f>CONCATENATE("350"," - ","MRS", " ","Zizipho"," ", "Makwabe")</f>
        <v>350 - MRS Zizipho Makwabe</v>
      </c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2"/>
    </row>
    <row r="504" spans="1:29" ht="15" hidden="1" customHeight="1" outlineLevel="1" thickBot="1" x14ac:dyDescent="0.3">
      <c r="A504" s="4" t="s">
        <v>3034</v>
      </c>
      <c r="B504" s="4" t="s">
        <v>325</v>
      </c>
      <c r="C504" s="4" t="s">
        <v>2220</v>
      </c>
      <c r="D504" s="5">
        <v>42962.461805555555</v>
      </c>
      <c r="E504" s="4" t="s">
        <v>2221</v>
      </c>
      <c r="F504" s="4" t="s">
        <v>2222</v>
      </c>
      <c r="G504" s="4" t="s">
        <v>2280</v>
      </c>
      <c r="H504" s="4" t="s">
        <v>934</v>
      </c>
      <c r="I504" s="4" t="s">
        <v>1392</v>
      </c>
      <c r="J504" s="4" t="s">
        <v>1391</v>
      </c>
      <c r="K504" s="5">
        <v>30433</v>
      </c>
      <c r="L504" s="4" t="s">
        <v>3035</v>
      </c>
      <c r="M504" s="4" t="s">
        <v>9</v>
      </c>
      <c r="N504" s="5">
        <v>41239</v>
      </c>
      <c r="O504" s="5" t="s">
        <v>2224</v>
      </c>
      <c r="P504" s="4" t="s">
        <v>2224</v>
      </c>
      <c r="Q504" s="4" t="s">
        <v>3036</v>
      </c>
      <c r="R504" s="4" t="s">
        <v>2226</v>
      </c>
      <c r="S504" s="4" t="s">
        <v>2227</v>
      </c>
      <c r="T504" s="4" t="s">
        <v>2228</v>
      </c>
      <c r="U504" s="4" t="s">
        <v>2229</v>
      </c>
      <c r="V504" s="4" t="s">
        <v>17</v>
      </c>
      <c r="W504" s="4" t="s">
        <v>2230</v>
      </c>
      <c r="X504" s="4" t="s">
        <v>2224</v>
      </c>
      <c r="Y504" s="4" t="s">
        <v>2469</v>
      </c>
      <c r="Z504" s="6">
        <v>20904.990000000002</v>
      </c>
      <c r="AA504" s="6">
        <v>250859.88</v>
      </c>
      <c r="AB504" s="4" t="s">
        <v>2232</v>
      </c>
      <c r="AC504" s="7" t="s">
        <v>2224</v>
      </c>
    </row>
    <row r="505" spans="1:29" ht="15" customHeight="1" collapsed="1" thickBot="1" x14ac:dyDescent="0.3">
      <c r="A505" s="20" t="str">
        <f>CONCATENATE("351"," - ","MRS", " ","Aletta"," ", "Malapane")</f>
        <v>351 - MRS Aletta Malapane</v>
      </c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2"/>
    </row>
    <row r="506" spans="1:29" ht="15" hidden="1" customHeight="1" outlineLevel="1" thickBot="1" x14ac:dyDescent="0.3">
      <c r="A506" s="4" t="s">
        <v>3037</v>
      </c>
      <c r="B506" s="4" t="s">
        <v>355</v>
      </c>
      <c r="C506" s="4" t="s">
        <v>2220</v>
      </c>
      <c r="D506" s="5">
        <v>42962.462500000001</v>
      </c>
      <c r="E506" s="4" t="s">
        <v>2221</v>
      </c>
      <c r="F506" s="4" t="s">
        <v>2222</v>
      </c>
      <c r="G506" s="4" t="s">
        <v>2280</v>
      </c>
      <c r="H506" s="4" t="s">
        <v>1174</v>
      </c>
      <c r="I506" s="4" t="s">
        <v>1449</v>
      </c>
      <c r="J506" s="4" t="s">
        <v>1448</v>
      </c>
      <c r="K506" s="5">
        <v>20699</v>
      </c>
      <c r="L506" s="4" t="s">
        <v>3038</v>
      </c>
      <c r="M506" s="4" t="s">
        <v>9</v>
      </c>
      <c r="N506" s="5">
        <v>41298</v>
      </c>
      <c r="O506" s="5" t="s">
        <v>2224</v>
      </c>
      <c r="P506" s="4" t="s">
        <v>2224</v>
      </c>
      <c r="Q506" s="4" t="s">
        <v>3039</v>
      </c>
      <c r="R506" s="4" t="s">
        <v>2226</v>
      </c>
      <c r="S506" s="4" t="s">
        <v>2227</v>
      </c>
      <c r="T506" s="4" t="s">
        <v>2228</v>
      </c>
      <c r="U506" s="4" t="s">
        <v>2248</v>
      </c>
      <c r="V506" s="4" t="s">
        <v>252</v>
      </c>
      <c r="W506" s="4" t="s">
        <v>2468</v>
      </c>
      <c r="X506" s="4" t="s">
        <v>2224</v>
      </c>
      <c r="Y506" s="4" t="s">
        <v>3010</v>
      </c>
      <c r="Z506" s="6">
        <v>5113.2734</v>
      </c>
      <c r="AA506" s="6">
        <v>61359.28</v>
      </c>
      <c r="AB506" s="4" t="s">
        <v>2232</v>
      </c>
      <c r="AC506" s="7" t="s">
        <v>2224</v>
      </c>
    </row>
    <row r="507" spans="1:29" ht="15" customHeight="1" collapsed="1" thickBot="1" x14ac:dyDescent="0.3">
      <c r="A507" s="20" t="str">
        <f>CONCATENATE("352"," - ","MISS", " ","PATRICIA"," ", "Malatji")</f>
        <v>352 - MISS PATRICIA Malatji</v>
      </c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2"/>
    </row>
    <row r="508" spans="1:29" ht="15" hidden="1" customHeight="1" outlineLevel="1" thickBot="1" x14ac:dyDescent="0.3">
      <c r="A508" s="4" t="s">
        <v>3040</v>
      </c>
      <c r="B508" s="4" t="s">
        <v>164</v>
      </c>
      <c r="C508" s="4" t="s">
        <v>2220</v>
      </c>
      <c r="D508" s="5">
        <v>42962.461805555555</v>
      </c>
      <c r="E508" s="4" t="s">
        <v>2221</v>
      </c>
      <c r="F508" s="4" t="s">
        <v>2222</v>
      </c>
      <c r="G508" s="4" t="s">
        <v>2234</v>
      </c>
      <c r="H508" s="4" t="s">
        <v>781</v>
      </c>
      <c r="I508" s="4" t="s">
        <v>1085</v>
      </c>
      <c r="J508" s="4" t="s">
        <v>1084</v>
      </c>
      <c r="K508" s="5">
        <v>29832</v>
      </c>
      <c r="L508" s="4" t="s">
        <v>3041</v>
      </c>
      <c r="M508" s="4" t="s">
        <v>9</v>
      </c>
      <c r="N508" s="5">
        <v>39387</v>
      </c>
      <c r="O508" s="5" t="s">
        <v>2224</v>
      </c>
      <c r="P508" s="4" t="s">
        <v>2224</v>
      </c>
      <c r="Q508" s="4" t="s">
        <v>3042</v>
      </c>
      <c r="R508" s="4" t="s">
        <v>2226</v>
      </c>
      <c r="S508" s="4" t="s">
        <v>2227</v>
      </c>
      <c r="T508" s="4" t="s">
        <v>2228</v>
      </c>
      <c r="U508" s="4" t="s">
        <v>2229</v>
      </c>
      <c r="V508" s="4" t="s">
        <v>25</v>
      </c>
      <c r="W508" s="4" t="s">
        <v>2278</v>
      </c>
      <c r="X508" s="4" t="s">
        <v>2224</v>
      </c>
      <c r="Y508" s="4" t="s">
        <v>2449</v>
      </c>
      <c r="Z508" s="6">
        <v>17112.251499999998</v>
      </c>
      <c r="AA508" s="6">
        <v>205347.02</v>
      </c>
      <c r="AB508" s="4" t="s">
        <v>2232</v>
      </c>
      <c r="AC508" s="7" t="s">
        <v>2224</v>
      </c>
    </row>
    <row r="509" spans="1:29" ht="15" customHeight="1" collapsed="1" thickBot="1" x14ac:dyDescent="0.3">
      <c r="A509" s="20" t="str">
        <f>CONCATENATE("353"," - ","MR", " ","Thabiso"," ", "Maluka")</f>
        <v>353 - MR Thabiso Maluka</v>
      </c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2"/>
    </row>
    <row r="510" spans="1:29" ht="15" hidden="1" customHeight="1" outlineLevel="1" thickBot="1" x14ac:dyDescent="0.3">
      <c r="A510" s="4" t="s">
        <v>3043</v>
      </c>
      <c r="B510" s="4" t="s">
        <v>600</v>
      </c>
      <c r="C510" s="4" t="s">
        <v>2220</v>
      </c>
      <c r="D510" s="5">
        <v>42962.461805555555</v>
      </c>
      <c r="E510" s="4" t="s">
        <v>2221</v>
      </c>
      <c r="F510" s="4" t="s">
        <v>2222</v>
      </c>
      <c r="G510" s="4" t="s">
        <v>2014</v>
      </c>
      <c r="H510" s="4" t="s">
        <v>1886</v>
      </c>
      <c r="I510" s="4" t="s">
        <v>1522</v>
      </c>
      <c r="J510" s="4" t="s">
        <v>1908</v>
      </c>
      <c r="K510" s="5">
        <v>32049</v>
      </c>
      <c r="L510" s="4" t="s">
        <v>3044</v>
      </c>
      <c r="M510" s="4" t="s">
        <v>9</v>
      </c>
      <c r="N510" s="5">
        <v>42192</v>
      </c>
      <c r="O510" s="5" t="s">
        <v>2224</v>
      </c>
      <c r="P510" s="4" t="s">
        <v>2224</v>
      </c>
      <c r="Q510" s="4" t="s">
        <v>3045</v>
      </c>
      <c r="R510" s="4" t="s">
        <v>2226</v>
      </c>
      <c r="S510" s="4" t="s">
        <v>2227</v>
      </c>
      <c r="T510" s="4" t="s">
        <v>2228</v>
      </c>
      <c r="U510" s="4" t="s">
        <v>2229</v>
      </c>
      <c r="V510" s="4" t="s">
        <v>25</v>
      </c>
      <c r="W510" s="4" t="s">
        <v>2278</v>
      </c>
      <c r="X510" s="4" t="s">
        <v>2224</v>
      </c>
      <c r="Y510" s="4" t="s">
        <v>2449</v>
      </c>
      <c r="Z510" s="6">
        <v>10710.1538</v>
      </c>
      <c r="AA510" s="6">
        <v>128521.85</v>
      </c>
      <c r="AB510" s="4" t="s">
        <v>2232</v>
      </c>
      <c r="AC510" s="7" t="s">
        <v>2224</v>
      </c>
    </row>
    <row r="511" spans="1:29" ht="15" customHeight="1" collapsed="1" thickBot="1" x14ac:dyDescent="0.3">
      <c r="A511" s="20" t="str">
        <f>CONCATENATE("354"," - ","MISS", " ","Edith"," ", "Maluleka")</f>
        <v>354 - MISS Edith Maluleka</v>
      </c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2"/>
    </row>
    <row r="512" spans="1:29" ht="15" hidden="1" customHeight="1" outlineLevel="1" thickBot="1" x14ac:dyDescent="0.3">
      <c r="A512" s="4" t="s">
        <v>3046</v>
      </c>
      <c r="B512" s="4" t="s">
        <v>540</v>
      </c>
      <c r="C512" s="4" t="s">
        <v>2220</v>
      </c>
      <c r="D512" s="5">
        <v>42962.549999999996</v>
      </c>
      <c r="E512" s="4" t="s">
        <v>2221</v>
      </c>
      <c r="F512" s="4" t="s">
        <v>2222</v>
      </c>
      <c r="G512" s="4" t="s">
        <v>2234</v>
      </c>
      <c r="H512" s="4" t="s">
        <v>816</v>
      </c>
      <c r="I512" s="4" t="s">
        <v>1807</v>
      </c>
      <c r="J512" s="4" t="s">
        <v>1263</v>
      </c>
      <c r="K512" s="5">
        <v>35553</v>
      </c>
      <c r="L512" s="4" t="s">
        <v>3047</v>
      </c>
      <c r="M512" s="4" t="s">
        <v>9</v>
      </c>
      <c r="N512" s="5">
        <v>42072</v>
      </c>
      <c r="O512" s="5" t="s">
        <v>2224</v>
      </c>
      <c r="P512" s="4" t="s">
        <v>2224</v>
      </c>
      <c r="Q512" s="4" t="s">
        <v>2552</v>
      </c>
      <c r="R512" s="4" t="s">
        <v>2226</v>
      </c>
      <c r="S512" s="4" t="s">
        <v>2227</v>
      </c>
      <c r="T512" s="4" t="s">
        <v>2228</v>
      </c>
      <c r="U512" s="4" t="s">
        <v>2237</v>
      </c>
      <c r="V512" s="4" t="s">
        <v>8</v>
      </c>
      <c r="W512" s="4" t="s">
        <v>2278</v>
      </c>
      <c r="X512" s="4" t="s">
        <v>2224</v>
      </c>
      <c r="Y512" s="4" t="s">
        <v>2239</v>
      </c>
      <c r="Z512" s="6">
        <v>16081.7</v>
      </c>
      <c r="AA512" s="6">
        <v>192980.4</v>
      </c>
      <c r="AB512" s="4" t="s">
        <v>2232</v>
      </c>
      <c r="AC512" s="7" t="s">
        <v>2224</v>
      </c>
    </row>
    <row r="513" spans="1:29" ht="15" customHeight="1" collapsed="1" thickBot="1" x14ac:dyDescent="0.3">
      <c r="A513" s="20" t="str">
        <f>CONCATENATE("355"," - ","MRS", " ","Sibongile"," ", "Maluleka")</f>
        <v>355 - MRS Sibongile Maluleka</v>
      </c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2"/>
    </row>
    <row r="514" spans="1:29" ht="15" hidden="1" customHeight="1" outlineLevel="1" thickBot="1" x14ac:dyDescent="0.3">
      <c r="A514" s="4" t="s">
        <v>3048</v>
      </c>
      <c r="B514" s="4" t="s">
        <v>254</v>
      </c>
      <c r="C514" s="4" t="s">
        <v>2220</v>
      </c>
      <c r="D514" s="5">
        <v>42962.462500000001</v>
      </c>
      <c r="E514" s="4" t="s">
        <v>2221</v>
      </c>
      <c r="F514" s="4" t="s">
        <v>2222</v>
      </c>
      <c r="G514" s="4" t="s">
        <v>2280</v>
      </c>
      <c r="H514" s="4" t="s">
        <v>883</v>
      </c>
      <c r="I514" s="4" t="s">
        <v>1264</v>
      </c>
      <c r="J514" s="4" t="s">
        <v>1263</v>
      </c>
      <c r="K514" s="5">
        <v>22871</v>
      </c>
      <c r="L514" s="4" t="s">
        <v>3049</v>
      </c>
      <c r="M514" s="4" t="s">
        <v>9</v>
      </c>
      <c r="N514" s="5">
        <v>40533</v>
      </c>
      <c r="O514" s="5" t="s">
        <v>2224</v>
      </c>
      <c r="P514" s="4" t="s">
        <v>2224</v>
      </c>
      <c r="Q514" s="4" t="s">
        <v>3050</v>
      </c>
      <c r="R514" s="4" t="s">
        <v>2226</v>
      </c>
      <c r="S514" s="4" t="s">
        <v>2227</v>
      </c>
      <c r="T514" s="4" t="s">
        <v>2228</v>
      </c>
      <c r="U514" s="4" t="s">
        <v>2248</v>
      </c>
      <c r="V514" s="4" t="s">
        <v>252</v>
      </c>
      <c r="W514" s="4" t="s">
        <v>2468</v>
      </c>
      <c r="X514" s="4" t="s">
        <v>2224</v>
      </c>
      <c r="Y514" s="4" t="s">
        <v>3010</v>
      </c>
      <c r="Z514" s="6">
        <v>5113.2734</v>
      </c>
      <c r="AA514" s="6">
        <v>61359.28</v>
      </c>
      <c r="AB514" s="4" t="s">
        <v>2232</v>
      </c>
      <c r="AC514" s="7" t="s">
        <v>2224</v>
      </c>
    </row>
    <row r="515" spans="1:29" ht="15" customHeight="1" collapsed="1" thickBot="1" x14ac:dyDescent="0.3">
      <c r="A515" s="20" t="str">
        <f>CONCATENATE("356"," - ","MS", " ","Jacobeth"," ", "Maluleke")</f>
        <v>356 - MS Jacobeth Maluleke</v>
      </c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2"/>
    </row>
    <row r="516" spans="1:29" ht="15" hidden="1" customHeight="1" outlineLevel="1" thickBot="1" x14ac:dyDescent="0.3">
      <c r="A516" s="4" t="s">
        <v>3051</v>
      </c>
      <c r="B516" s="4" t="s">
        <v>640</v>
      </c>
      <c r="C516" s="4" t="s">
        <v>2220</v>
      </c>
      <c r="D516" s="5">
        <v>42962.462500000001</v>
      </c>
      <c r="E516" s="4" t="s">
        <v>2221</v>
      </c>
      <c r="F516" s="4" t="s">
        <v>2222</v>
      </c>
      <c r="G516" s="4" t="s">
        <v>813</v>
      </c>
      <c r="H516" s="4" t="s">
        <v>888</v>
      </c>
      <c r="I516" s="4" t="s">
        <v>1966</v>
      </c>
      <c r="J516" s="4" t="s">
        <v>1965</v>
      </c>
      <c r="K516" s="5">
        <v>31818</v>
      </c>
      <c r="L516" s="4" t="s">
        <v>3052</v>
      </c>
      <c r="M516" s="4" t="s">
        <v>9</v>
      </c>
      <c r="N516" s="5">
        <v>42339</v>
      </c>
      <c r="O516" s="5" t="s">
        <v>2224</v>
      </c>
      <c r="P516" s="4" t="s">
        <v>2224</v>
      </c>
      <c r="Q516" s="4" t="s">
        <v>3053</v>
      </c>
      <c r="R516" s="4" t="s">
        <v>2226</v>
      </c>
      <c r="S516" s="4" t="s">
        <v>2793</v>
      </c>
      <c r="T516" s="4" t="s">
        <v>2228</v>
      </c>
      <c r="U516" s="4" t="s">
        <v>2248</v>
      </c>
      <c r="V516" s="4" t="s">
        <v>634</v>
      </c>
      <c r="W516" s="4" t="s">
        <v>2249</v>
      </c>
      <c r="X516" s="4" t="s">
        <v>2224</v>
      </c>
      <c r="Y516" s="4" t="s">
        <v>2887</v>
      </c>
      <c r="Z516" s="6">
        <v>12105.64</v>
      </c>
      <c r="AA516" s="6">
        <v>145267.68</v>
      </c>
      <c r="AB516" s="4" t="s">
        <v>2232</v>
      </c>
      <c r="AC516" s="7" t="s">
        <v>2224</v>
      </c>
    </row>
    <row r="517" spans="1:29" ht="15" customHeight="1" collapsed="1" thickBot="1" x14ac:dyDescent="0.3">
      <c r="A517" s="20" t="str">
        <f>CONCATENATE("357"," - ","MRS", " ","Brenda"," ", "Mandhlazi")</f>
        <v>357 - MRS Brenda Mandhlazi</v>
      </c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2"/>
    </row>
    <row r="518" spans="1:29" ht="15" hidden="1" customHeight="1" outlineLevel="1" thickBot="1" x14ac:dyDescent="0.3">
      <c r="A518" s="4" t="s">
        <v>3054</v>
      </c>
      <c r="B518" s="4" t="s">
        <v>89</v>
      </c>
      <c r="C518" s="4" t="s">
        <v>2220</v>
      </c>
      <c r="D518" s="5">
        <v>42961.337500000001</v>
      </c>
      <c r="E518" s="4" t="s">
        <v>2221</v>
      </c>
      <c r="F518" s="4" t="s">
        <v>2222</v>
      </c>
      <c r="G518" s="4" t="s">
        <v>2280</v>
      </c>
      <c r="H518" s="4" t="s">
        <v>791</v>
      </c>
      <c r="I518" s="4" t="s">
        <v>940</v>
      </c>
      <c r="J518" s="4" t="s">
        <v>939</v>
      </c>
      <c r="K518" s="5">
        <v>29250</v>
      </c>
      <c r="L518" s="4" t="s">
        <v>3055</v>
      </c>
      <c r="M518" s="4" t="s">
        <v>9</v>
      </c>
      <c r="N518" s="5">
        <v>39020</v>
      </c>
      <c r="O518" s="5" t="s">
        <v>2224</v>
      </c>
      <c r="P518" s="4" t="s">
        <v>2224</v>
      </c>
      <c r="Q518" s="4" t="s">
        <v>3056</v>
      </c>
      <c r="R518" s="4" t="s">
        <v>2226</v>
      </c>
      <c r="S518" s="4" t="s">
        <v>2227</v>
      </c>
      <c r="T518" s="4" t="s">
        <v>2228</v>
      </c>
      <c r="U518" s="4" t="s">
        <v>2229</v>
      </c>
      <c r="V518" s="4" t="s">
        <v>17</v>
      </c>
      <c r="W518" s="4" t="s">
        <v>2230</v>
      </c>
      <c r="X518" s="4" t="s">
        <v>2224</v>
      </c>
      <c r="Y518" s="4" t="s">
        <v>2384</v>
      </c>
      <c r="Z518" s="6">
        <v>21430.880000000001</v>
      </c>
      <c r="AA518" s="6">
        <v>257170.56</v>
      </c>
      <c r="AB518" s="4" t="s">
        <v>2232</v>
      </c>
      <c r="AC518" s="7" t="s">
        <v>2224</v>
      </c>
    </row>
    <row r="519" spans="1:29" ht="15" customHeight="1" collapsed="1" thickBot="1" x14ac:dyDescent="0.3">
      <c r="A519" s="20" t="str">
        <f>CONCATENATE("358"," - ","", " ","Tshepiso"," ", "Mangwale")</f>
        <v>358 -  Tshepiso Mangwale</v>
      </c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2"/>
    </row>
    <row r="520" spans="1:29" ht="15" hidden="1" customHeight="1" outlineLevel="1" thickBot="1" x14ac:dyDescent="0.3">
      <c r="A520" s="4" t="s">
        <v>3057</v>
      </c>
      <c r="B520" s="4" t="s">
        <v>3058</v>
      </c>
      <c r="C520" s="4" t="s">
        <v>2220</v>
      </c>
      <c r="D520" s="5">
        <v>42948.693055555552</v>
      </c>
      <c r="E520" s="4" t="s">
        <v>2221</v>
      </c>
      <c r="F520" s="4" t="s">
        <v>2222</v>
      </c>
      <c r="G520" s="4" t="s">
        <v>2224</v>
      </c>
      <c r="H520" s="4" t="s">
        <v>3059</v>
      </c>
      <c r="I520" s="4" t="s">
        <v>1706</v>
      </c>
      <c r="J520" s="4" t="s">
        <v>3060</v>
      </c>
      <c r="K520" s="5">
        <v>31123</v>
      </c>
      <c r="L520" s="4" t="s">
        <v>3061</v>
      </c>
      <c r="M520" s="4" t="s">
        <v>2505</v>
      </c>
      <c r="N520" s="5">
        <v>42172</v>
      </c>
      <c r="O520" s="5">
        <v>42947</v>
      </c>
      <c r="P520" s="4" t="s">
        <v>2441</v>
      </c>
      <c r="Q520" s="4" t="s">
        <v>3062</v>
      </c>
      <c r="R520" s="4" t="s">
        <v>2224</v>
      </c>
      <c r="S520" s="4" t="s">
        <v>2227</v>
      </c>
      <c r="T520" s="4" t="s">
        <v>2228</v>
      </c>
      <c r="U520" s="4" t="s">
        <v>2248</v>
      </c>
      <c r="V520" s="4" t="s">
        <v>3063</v>
      </c>
      <c r="W520" s="4" t="s">
        <v>2249</v>
      </c>
      <c r="X520" s="4" t="s">
        <v>2224</v>
      </c>
      <c r="Y520" s="4" t="s">
        <v>2224</v>
      </c>
      <c r="Z520" s="6">
        <v>0</v>
      </c>
      <c r="AA520" s="6">
        <v>0</v>
      </c>
      <c r="AB520" s="4" t="s">
        <v>2232</v>
      </c>
      <c r="AC520" s="7" t="s">
        <v>2244</v>
      </c>
    </row>
    <row r="521" spans="1:29" ht="15" customHeight="1" collapsed="1" thickBot="1" x14ac:dyDescent="0.3">
      <c r="A521" s="20" t="str">
        <f>CONCATENATE("359"," - ","MISS", " ","Lauren"," ", "Manson-Kullin")</f>
        <v>359 - MISS Lauren Manson-Kullin</v>
      </c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2"/>
    </row>
    <row r="522" spans="1:29" ht="15" hidden="1" customHeight="1" outlineLevel="1" thickBot="1" x14ac:dyDescent="0.3">
      <c r="A522" s="4" t="s">
        <v>3064</v>
      </c>
      <c r="B522" s="4" t="s">
        <v>321</v>
      </c>
      <c r="C522" s="4" t="s">
        <v>2220</v>
      </c>
      <c r="D522" s="5">
        <v>42962.461805555555</v>
      </c>
      <c r="E522" s="4" t="s">
        <v>2221</v>
      </c>
      <c r="F522" s="4" t="s">
        <v>2222</v>
      </c>
      <c r="G522" s="4" t="s">
        <v>2234</v>
      </c>
      <c r="H522" s="4" t="s">
        <v>826</v>
      </c>
      <c r="I522" s="4" t="s">
        <v>1384</v>
      </c>
      <c r="J522" s="4" t="s">
        <v>1383</v>
      </c>
      <c r="K522" s="5">
        <v>23566</v>
      </c>
      <c r="L522" s="4" t="s">
        <v>3065</v>
      </c>
      <c r="M522" s="4" t="s">
        <v>9</v>
      </c>
      <c r="N522" s="5">
        <v>41239</v>
      </c>
      <c r="O522" s="5" t="s">
        <v>2224</v>
      </c>
      <c r="P522" s="4" t="s">
        <v>2224</v>
      </c>
      <c r="Q522" s="4" t="s">
        <v>3066</v>
      </c>
      <c r="R522" s="4" t="s">
        <v>2226</v>
      </c>
      <c r="S522" s="4" t="s">
        <v>2227</v>
      </c>
      <c r="T522" s="4" t="s">
        <v>2228</v>
      </c>
      <c r="U522" s="4" t="s">
        <v>2229</v>
      </c>
      <c r="V522" s="4" t="s">
        <v>25</v>
      </c>
      <c r="W522" s="4" t="s">
        <v>2278</v>
      </c>
      <c r="X522" s="4" t="s">
        <v>2224</v>
      </c>
      <c r="Y522" s="4" t="s">
        <v>2469</v>
      </c>
      <c r="Z522" s="6">
        <v>16692.34</v>
      </c>
      <c r="AA522" s="6">
        <v>200308.08</v>
      </c>
      <c r="AB522" s="4" t="s">
        <v>2232</v>
      </c>
      <c r="AC522" s="7" t="s">
        <v>2224</v>
      </c>
    </row>
    <row r="523" spans="1:29" ht="15" customHeight="1" collapsed="1" thickBot="1" x14ac:dyDescent="0.3">
      <c r="A523" s="20" t="str">
        <f>CONCATENATE("36"," - ","MR", " ","Ulrich"," ", "Arrenbrecht")</f>
        <v>36 - MR Ulrich Arrenbrecht</v>
      </c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2"/>
    </row>
    <row r="524" spans="1:29" ht="15" hidden="1" customHeight="1" outlineLevel="1" thickBot="1" x14ac:dyDescent="0.3">
      <c r="A524" s="4" t="s">
        <v>3067</v>
      </c>
      <c r="B524" s="4" t="s">
        <v>294</v>
      </c>
      <c r="C524" s="4" t="s">
        <v>2220</v>
      </c>
      <c r="D524" s="5">
        <v>42963.28402777778</v>
      </c>
      <c r="E524" s="4" t="s">
        <v>2221</v>
      </c>
      <c r="F524" s="4" t="s">
        <v>2222</v>
      </c>
      <c r="G524" s="4" t="s">
        <v>2014</v>
      </c>
      <c r="H524" s="4" t="s">
        <v>1337</v>
      </c>
      <c r="I524" s="4" t="s">
        <v>1338</v>
      </c>
      <c r="J524" s="4" t="s">
        <v>1336</v>
      </c>
      <c r="K524" s="5">
        <v>28466</v>
      </c>
      <c r="L524" s="4" t="s">
        <v>3068</v>
      </c>
      <c r="M524" s="4" t="s">
        <v>9</v>
      </c>
      <c r="N524" s="5">
        <v>40969</v>
      </c>
      <c r="O524" s="5" t="s">
        <v>2224</v>
      </c>
      <c r="P524" s="4" t="s">
        <v>2224</v>
      </c>
      <c r="Q524" s="4" t="s">
        <v>3069</v>
      </c>
      <c r="R524" s="4" t="s">
        <v>2226</v>
      </c>
      <c r="S524" s="4" t="s">
        <v>2227</v>
      </c>
      <c r="T524" s="4" t="s">
        <v>2228</v>
      </c>
      <c r="U524" s="4" t="s">
        <v>2258</v>
      </c>
      <c r="V524" s="4" t="s">
        <v>13</v>
      </c>
      <c r="W524" s="4" t="s">
        <v>2249</v>
      </c>
      <c r="X524" s="4" t="s">
        <v>2224</v>
      </c>
      <c r="Y524" s="4" t="s">
        <v>2259</v>
      </c>
      <c r="Z524" s="6">
        <v>111990.9564</v>
      </c>
      <c r="AA524" s="6">
        <v>1343891.48</v>
      </c>
      <c r="AB524" s="4" t="s">
        <v>2232</v>
      </c>
      <c r="AC524" s="7" t="s">
        <v>2224</v>
      </c>
    </row>
    <row r="525" spans="1:29" ht="15" customHeight="1" collapsed="1" thickBot="1" x14ac:dyDescent="0.3">
      <c r="A525" s="20" t="str">
        <f>CONCATENATE("360"," - ","MISS", " ","Boitumelo"," ", "Mantje")</f>
        <v>360 - MISS Boitumelo Mantje</v>
      </c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2"/>
    </row>
    <row r="526" spans="1:29" ht="15" hidden="1" customHeight="1" outlineLevel="1" thickBot="1" x14ac:dyDescent="0.3">
      <c r="A526" s="4" t="s">
        <v>3070</v>
      </c>
      <c r="B526" s="4" t="s">
        <v>229</v>
      </c>
      <c r="C526" s="4" t="s">
        <v>2220</v>
      </c>
      <c r="D526" s="5">
        <v>42962.461111111108</v>
      </c>
      <c r="E526" s="4" t="s">
        <v>2221</v>
      </c>
      <c r="F526" s="4" t="s">
        <v>2222</v>
      </c>
      <c r="G526" s="4" t="s">
        <v>2234</v>
      </c>
      <c r="H526" s="4" t="s">
        <v>1221</v>
      </c>
      <c r="I526" s="4" t="s">
        <v>1222</v>
      </c>
      <c r="J526" s="4" t="s">
        <v>1220</v>
      </c>
      <c r="K526" s="5">
        <v>29995</v>
      </c>
      <c r="L526" s="4" t="s">
        <v>3071</v>
      </c>
      <c r="M526" s="4" t="s">
        <v>9</v>
      </c>
      <c r="N526" s="5">
        <v>40299</v>
      </c>
      <c r="O526" s="5" t="s">
        <v>2224</v>
      </c>
      <c r="P526" s="4" t="s">
        <v>2224</v>
      </c>
      <c r="Q526" s="4" t="s">
        <v>3072</v>
      </c>
      <c r="R526" s="4" t="s">
        <v>2226</v>
      </c>
      <c r="S526" s="4" t="s">
        <v>2227</v>
      </c>
      <c r="T526" s="4" t="s">
        <v>2228</v>
      </c>
      <c r="U526" s="4" t="s">
        <v>2229</v>
      </c>
      <c r="V526" s="4" t="s">
        <v>25</v>
      </c>
      <c r="W526" s="4" t="s">
        <v>2278</v>
      </c>
      <c r="X526" s="4" t="s">
        <v>2224</v>
      </c>
      <c r="Y526" s="4" t="s">
        <v>2423</v>
      </c>
      <c r="Z526" s="6">
        <v>8556.1203999999998</v>
      </c>
      <c r="AA526" s="6">
        <v>102673.44</v>
      </c>
      <c r="AB526" s="4" t="s">
        <v>2232</v>
      </c>
      <c r="AC526" s="7" t="s">
        <v>2224</v>
      </c>
    </row>
    <row r="527" spans="1:29" ht="15" customHeight="1" collapsed="1" thickBot="1" x14ac:dyDescent="0.3">
      <c r="A527" s="20" t="str">
        <f>CONCATENATE("361"," - ","MISS", " ","Pumeza"," ", "Manzi")</f>
        <v>361 - MISS Pumeza Manzi</v>
      </c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2"/>
    </row>
    <row r="528" spans="1:29" ht="15" hidden="1" customHeight="1" outlineLevel="1" thickBot="1" x14ac:dyDescent="0.3">
      <c r="A528" s="4" t="s">
        <v>3073</v>
      </c>
      <c r="B528" s="4" t="s">
        <v>281</v>
      </c>
      <c r="C528" s="4" t="s">
        <v>2220</v>
      </c>
      <c r="D528" s="5">
        <v>42962.461805555555</v>
      </c>
      <c r="E528" s="4" t="s">
        <v>2221</v>
      </c>
      <c r="F528" s="4" t="s">
        <v>2222</v>
      </c>
      <c r="G528" s="4" t="s">
        <v>2234</v>
      </c>
      <c r="H528" s="4" t="s">
        <v>781</v>
      </c>
      <c r="I528" s="4" t="s">
        <v>1316</v>
      </c>
      <c r="J528" s="4" t="s">
        <v>1315</v>
      </c>
      <c r="K528" s="5">
        <v>28834</v>
      </c>
      <c r="L528" s="4" t="s">
        <v>3074</v>
      </c>
      <c r="M528" s="4" t="s">
        <v>9</v>
      </c>
      <c r="N528" s="5">
        <v>40819</v>
      </c>
      <c r="O528" s="5" t="s">
        <v>2224</v>
      </c>
      <c r="P528" s="4" t="s">
        <v>2224</v>
      </c>
      <c r="Q528" s="4" t="s">
        <v>3075</v>
      </c>
      <c r="R528" s="4" t="s">
        <v>2226</v>
      </c>
      <c r="S528" s="4" t="s">
        <v>2227</v>
      </c>
      <c r="T528" s="4" t="s">
        <v>2228</v>
      </c>
      <c r="U528" s="4" t="s">
        <v>2229</v>
      </c>
      <c r="V528" s="4" t="s">
        <v>25</v>
      </c>
      <c r="W528" s="4" t="s">
        <v>2278</v>
      </c>
      <c r="X528" s="4" t="s">
        <v>2224</v>
      </c>
      <c r="Y528" s="4" t="s">
        <v>2231</v>
      </c>
      <c r="Z528" s="6">
        <v>16486.259999999998</v>
      </c>
      <c r="AA528" s="6">
        <v>197835.12</v>
      </c>
      <c r="AB528" s="4" t="s">
        <v>2232</v>
      </c>
      <c r="AC528" s="7" t="s">
        <v>2224</v>
      </c>
    </row>
    <row r="529" spans="1:29" ht="15" customHeight="1" collapsed="1" thickBot="1" x14ac:dyDescent="0.3">
      <c r="A529" s="20" t="str">
        <f>CONCATENATE("362"," - ","MISS", " ","Patricia"," ", "Manzini")</f>
        <v>362 - MISS Patricia Manzini</v>
      </c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2"/>
    </row>
    <row r="530" spans="1:29" ht="15" hidden="1" customHeight="1" outlineLevel="1" thickBot="1" x14ac:dyDescent="0.3">
      <c r="A530" s="4" t="s">
        <v>3076</v>
      </c>
      <c r="B530" s="4" t="s">
        <v>238</v>
      </c>
      <c r="C530" s="4" t="s">
        <v>2220</v>
      </c>
      <c r="D530" s="5">
        <v>42962.461805555555</v>
      </c>
      <c r="E530" s="4" t="s">
        <v>2221</v>
      </c>
      <c r="F530" s="4" t="s">
        <v>2222</v>
      </c>
      <c r="G530" s="4" t="s">
        <v>2234</v>
      </c>
      <c r="H530" s="4" t="s">
        <v>1238</v>
      </c>
      <c r="I530" s="4" t="s">
        <v>847</v>
      </c>
      <c r="J530" s="4" t="s">
        <v>1237</v>
      </c>
      <c r="K530" s="5">
        <v>29588</v>
      </c>
      <c r="L530" s="4" t="s">
        <v>3077</v>
      </c>
      <c r="M530" s="4" t="s">
        <v>9</v>
      </c>
      <c r="N530" s="5">
        <v>40343</v>
      </c>
      <c r="O530" s="5" t="s">
        <v>2224</v>
      </c>
      <c r="P530" s="4" t="s">
        <v>2224</v>
      </c>
      <c r="Q530" s="4" t="s">
        <v>3078</v>
      </c>
      <c r="R530" s="4" t="s">
        <v>2226</v>
      </c>
      <c r="S530" s="4" t="s">
        <v>2227</v>
      </c>
      <c r="T530" s="4" t="s">
        <v>2228</v>
      </c>
      <c r="U530" s="4" t="s">
        <v>2229</v>
      </c>
      <c r="V530" s="4" t="s">
        <v>17</v>
      </c>
      <c r="W530" s="4" t="s">
        <v>2230</v>
      </c>
      <c r="X530" s="4" t="s">
        <v>2224</v>
      </c>
      <c r="Y530" s="4" t="s">
        <v>2384</v>
      </c>
      <c r="Z530" s="6">
        <v>21430.874299999999</v>
      </c>
      <c r="AA530" s="6">
        <v>257170.49</v>
      </c>
      <c r="AB530" s="4" t="s">
        <v>2232</v>
      </c>
      <c r="AC530" s="7" t="s">
        <v>2224</v>
      </c>
    </row>
    <row r="531" spans="1:29" ht="15" customHeight="1" collapsed="1" thickBot="1" x14ac:dyDescent="0.3">
      <c r="A531" s="20" t="str">
        <f>CONCATENATE("363"," - ","MR", " ","Proctor"," ", "Mapeyi")</f>
        <v>363 - MR Proctor Mapeyi</v>
      </c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2"/>
    </row>
    <row r="532" spans="1:29" ht="15" hidden="1" customHeight="1" outlineLevel="1" thickBot="1" x14ac:dyDescent="0.3">
      <c r="A532" s="4" t="s">
        <v>3079</v>
      </c>
      <c r="B532" s="4" t="s">
        <v>579</v>
      </c>
      <c r="C532" s="4" t="s">
        <v>2220</v>
      </c>
      <c r="D532" s="5">
        <v>42962.461111111108</v>
      </c>
      <c r="E532" s="4" t="s">
        <v>2221</v>
      </c>
      <c r="F532" s="4" t="s">
        <v>2222</v>
      </c>
      <c r="G532" s="4" t="s">
        <v>2014</v>
      </c>
      <c r="H532" s="4" t="s">
        <v>1878</v>
      </c>
      <c r="I532" s="4" t="s">
        <v>1879</v>
      </c>
      <c r="J532" s="4" t="s">
        <v>1877</v>
      </c>
      <c r="K532" s="5">
        <v>31890</v>
      </c>
      <c r="L532" s="4" t="s">
        <v>3080</v>
      </c>
      <c r="M532" s="4" t="s">
        <v>9</v>
      </c>
      <c r="N532" s="5">
        <v>42135</v>
      </c>
      <c r="O532" s="5" t="s">
        <v>2224</v>
      </c>
      <c r="P532" s="4" t="s">
        <v>2224</v>
      </c>
      <c r="Q532" s="4" t="s">
        <v>3081</v>
      </c>
      <c r="R532" s="4" t="s">
        <v>2226</v>
      </c>
      <c r="S532" s="4" t="s">
        <v>2227</v>
      </c>
      <c r="T532" s="4" t="s">
        <v>2228</v>
      </c>
      <c r="U532" s="4" t="s">
        <v>2229</v>
      </c>
      <c r="V532" s="4" t="s">
        <v>25</v>
      </c>
      <c r="W532" s="4" t="s">
        <v>2278</v>
      </c>
      <c r="X532" s="4" t="s">
        <v>2224</v>
      </c>
      <c r="Y532" s="4" t="s">
        <v>2380</v>
      </c>
      <c r="Z532" s="6">
        <v>10710.1538</v>
      </c>
      <c r="AA532" s="6">
        <v>128521.85</v>
      </c>
      <c r="AB532" s="4" t="s">
        <v>2232</v>
      </c>
      <c r="AC532" s="7" t="s">
        <v>2224</v>
      </c>
    </row>
    <row r="533" spans="1:29" ht="15" customHeight="1" collapsed="1" thickBot="1" x14ac:dyDescent="0.3">
      <c r="A533" s="20" t="str">
        <f>CONCATENATE("364"," - ","MRS", " ","Heidi"," ", "Marais")</f>
        <v>364 - MRS Heidi Marais</v>
      </c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2"/>
    </row>
    <row r="534" spans="1:29" ht="15" hidden="1" customHeight="1" outlineLevel="1" thickBot="1" x14ac:dyDescent="0.3">
      <c r="A534" s="4" t="s">
        <v>3082</v>
      </c>
      <c r="B534" s="4" t="s">
        <v>140</v>
      </c>
      <c r="C534" s="4" t="s">
        <v>2220</v>
      </c>
      <c r="D534" s="5">
        <v>42962.462500000001</v>
      </c>
      <c r="E534" s="4" t="s">
        <v>2221</v>
      </c>
      <c r="F534" s="4" t="s">
        <v>2222</v>
      </c>
      <c r="G534" s="4" t="s">
        <v>2280</v>
      </c>
      <c r="H534" s="4" t="s">
        <v>832</v>
      </c>
      <c r="I534" s="4" t="s">
        <v>1038</v>
      </c>
      <c r="J534" s="4" t="s">
        <v>1037</v>
      </c>
      <c r="K534" s="5">
        <v>22469</v>
      </c>
      <c r="L534" s="4" t="s">
        <v>3083</v>
      </c>
      <c r="M534" s="4" t="s">
        <v>9</v>
      </c>
      <c r="N534" s="5">
        <v>39295</v>
      </c>
      <c r="O534" s="5" t="s">
        <v>2224</v>
      </c>
      <c r="P534" s="4" t="s">
        <v>2224</v>
      </c>
      <c r="Q534" s="4" t="s">
        <v>3084</v>
      </c>
      <c r="R534" s="4" t="s">
        <v>2226</v>
      </c>
      <c r="S534" s="4" t="s">
        <v>2227</v>
      </c>
      <c r="T534" s="4" t="s">
        <v>2228</v>
      </c>
      <c r="U534" s="4" t="s">
        <v>2229</v>
      </c>
      <c r="V534" s="4" t="s">
        <v>68</v>
      </c>
      <c r="W534" s="4" t="s">
        <v>2249</v>
      </c>
      <c r="X534" s="4" t="s">
        <v>2224</v>
      </c>
      <c r="Y534" s="4" t="s">
        <v>2549</v>
      </c>
      <c r="Z534" s="6">
        <v>31953.4</v>
      </c>
      <c r="AA534" s="6">
        <v>383440.8</v>
      </c>
      <c r="AB534" s="4" t="s">
        <v>2232</v>
      </c>
      <c r="AC534" s="7" t="s">
        <v>2224</v>
      </c>
    </row>
    <row r="535" spans="1:29" ht="15" customHeight="1" collapsed="1" thickBot="1" x14ac:dyDescent="0.3">
      <c r="A535" s="20" t="str">
        <f>CONCATENATE("365"," - ","MR", " ","Francois"," ", "Maree")</f>
        <v>365 - MR Francois Maree</v>
      </c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2"/>
    </row>
    <row r="536" spans="1:29" ht="15" hidden="1" customHeight="1" outlineLevel="1" thickBot="1" x14ac:dyDescent="0.3">
      <c r="A536" s="4" t="s">
        <v>3085</v>
      </c>
      <c r="B536" s="4" t="s">
        <v>335</v>
      </c>
      <c r="C536" s="4" t="s">
        <v>2220</v>
      </c>
      <c r="D536" s="5">
        <v>42963.285416666666</v>
      </c>
      <c r="E536" s="4" t="s">
        <v>2221</v>
      </c>
      <c r="F536" s="4" t="s">
        <v>2222</v>
      </c>
      <c r="G536" s="4" t="s">
        <v>2014</v>
      </c>
      <c r="H536" s="4" t="s">
        <v>1411</v>
      </c>
      <c r="I536" s="4" t="s">
        <v>1412</v>
      </c>
      <c r="J536" s="4" t="s">
        <v>1410</v>
      </c>
      <c r="K536" s="5">
        <v>20322</v>
      </c>
      <c r="L536" s="4" t="s">
        <v>3086</v>
      </c>
      <c r="M536" s="4" t="s">
        <v>9</v>
      </c>
      <c r="N536" s="5">
        <v>41281</v>
      </c>
      <c r="O536" s="5" t="s">
        <v>2224</v>
      </c>
      <c r="P536" s="4" t="s">
        <v>2224</v>
      </c>
      <c r="Q536" s="4" t="s">
        <v>3087</v>
      </c>
      <c r="R536" s="4" t="s">
        <v>2226</v>
      </c>
      <c r="S536" s="4" t="s">
        <v>2227</v>
      </c>
      <c r="T536" s="4" t="s">
        <v>2228</v>
      </c>
      <c r="U536" s="4" t="s">
        <v>2258</v>
      </c>
      <c r="V536" s="4" t="s">
        <v>13</v>
      </c>
      <c r="W536" s="4" t="s">
        <v>2249</v>
      </c>
      <c r="X536" s="4" t="s">
        <v>2224</v>
      </c>
      <c r="Y536" s="4" t="s">
        <v>2259</v>
      </c>
      <c r="Z536" s="6">
        <v>114230.7792</v>
      </c>
      <c r="AA536" s="6">
        <v>1370769.35</v>
      </c>
      <c r="AB536" s="4" t="s">
        <v>2232</v>
      </c>
      <c r="AC536" s="7" t="s">
        <v>2224</v>
      </c>
    </row>
    <row r="537" spans="1:29" ht="15" customHeight="1" collapsed="1" thickBot="1" x14ac:dyDescent="0.3">
      <c r="A537" s="20" t="str">
        <f>CONCATENATE("366"," - ","MISS", " ","Lisa"," ", "Marr")</f>
        <v>366 - MISS Lisa Marr</v>
      </c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2"/>
    </row>
    <row r="538" spans="1:29" ht="15" hidden="1" customHeight="1" outlineLevel="1" thickBot="1" x14ac:dyDescent="0.3">
      <c r="A538" s="4" t="s">
        <v>3088</v>
      </c>
      <c r="B538" s="4" t="s">
        <v>448</v>
      </c>
      <c r="C538" s="4" t="s">
        <v>2220</v>
      </c>
      <c r="D538" s="5">
        <v>42962.549999999996</v>
      </c>
      <c r="E538" s="4" t="s">
        <v>2221</v>
      </c>
      <c r="F538" s="4" t="s">
        <v>2222</v>
      </c>
      <c r="G538" s="4" t="s">
        <v>2234</v>
      </c>
      <c r="H538" s="4" t="s">
        <v>1629</v>
      </c>
      <c r="I538" s="4" t="s">
        <v>1630</v>
      </c>
      <c r="J538" s="4" t="s">
        <v>1628</v>
      </c>
      <c r="K538" s="5">
        <v>34521</v>
      </c>
      <c r="L538" s="4" t="s">
        <v>3089</v>
      </c>
      <c r="M538" s="4" t="s">
        <v>9</v>
      </c>
      <c r="N538" s="5">
        <v>41666</v>
      </c>
      <c r="O538" s="5" t="s">
        <v>2224</v>
      </c>
      <c r="P538" s="4" t="s">
        <v>2224</v>
      </c>
      <c r="Q538" s="4" t="s">
        <v>3090</v>
      </c>
      <c r="R538" s="4" t="s">
        <v>2226</v>
      </c>
      <c r="S538" s="4" t="s">
        <v>2227</v>
      </c>
      <c r="T538" s="4" t="s">
        <v>2228</v>
      </c>
      <c r="U538" s="4" t="s">
        <v>2237</v>
      </c>
      <c r="V538" s="4" t="s">
        <v>8</v>
      </c>
      <c r="W538" s="4" t="s">
        <v>2278</v>
      </c>
      <c r="X538" s="4" t="s">
        <v>2224</v>
      </c>
      <c r="Y538" s="4" t="s">
        <v>2239</v>
      </c>
      <c r="Z538" s="6">
        <v>16282.724</v>
      </c>
      <c r="AA538" s="6">
        <v>195392.69</v>
      </c>
      <c r="AB538" s="4" t="s">
        <v>2232</v>
      </c>
      <c r="AC538" s="7" t="s">
        <v>2224</v>
      </c>
    </row>
    <row r="539" spans="1:29" ht="15" customHeight="1" collapsed="1" thickBot="1" x14ac:dyDescent="0.3">
      <c r="A539" s="20" t="str">
        <f>CONCATENATE("367"," - ","MR", " ","Bryce"," ", "Martin")</f>
        <v>367 - MR Bryce Martin</v>
      </c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2"/>
    </row>
    <row r="540" spans="1:29" ht="15" hidden="1" customHeight="1" outlineLevel="1" thickBot="1" x14ac:dyDescent="0.3">
      <c r="A540" s="4" t="s">
        <v>3091</v>
      </c>
      <c r="B540" s="4" t="s">
        <v>651</v>
      </c>
      <c r="C540" s="4" t="s">
        <v>2220</v>
      </c>
      <c r="D540" s="5">
        <v>42963.289583333331</v>
      </c>
      <c r="E540" s="4" t="s">
        <v>2221</v>
      </c>
      <c r="F540" s="4" t="s">
        <v>2222</v>
      </c>
      <c r="G540" s="4" t="s">
        <v>2014</v>
      </c>
      <c r="H540" s="4" t="s">
        <v>791</v>
      </c>
      <c r="I540" s="4" t="s">
        <v>1985</v>
      </c>
      <c r="J540" s="4" t="s">
        <v>1984</v>
      </c>
      <c r="K540" s="5">
        <v>28339</v>
      </c>
      <c r="L540" s="4" t="s">
        <v>3092</v>
      </c>
      <c r="M540" s="4" t="s">
        <v>9</v>
      </c>
      <c r="N540" s="5">
        <v>42370</v>
      </c>
      <c r="O540" s="5" t="s">
        <v>2224</v>
      </c>
      <c r="P540" s="4" t="s">
        <v>2224</v>
      </c>
      <c r="Q540" s="4" t="s">
        <v>3093</v>
      </c>
      <c r="R540" s="4" t="s">
        <v>2226</v>
      </c>
      <c r="S540" s="4" t="s">
        <v>2227</v>
      </c>
      <c r="T540" s="4" t="s">
        <v>2228</v>
      </c>
      <c r="U540" s="4" t="s">
        <v>2258</v>
      </c>
      <c r="V540" s="4" t="s">
        <v>246</v>
      </c>
      <c r="W540" s="4" t="s">
        <v>2249</v>
      </c>
      <c r="X540" s="4" t="s">
        <v>2224</v>
      </c>
      <c r="Y540" s="4" t="s">
        <v>2259</v>
      </c>
      <c r="Z540" s="6">
        <v>68050.454400000002</v>
      </c>
      <c r="AA540" s="6">
        <v>816605.45</v>
      </c>
      <c r="AB540" s="4" t="s">
        <v>2232</v>
      </c>
      <c r="AC540" s="7" t="s">
        <v>2224</v>
      </c>
    </row>
    <row r="541" spans="1:29" ht="15" customHeight="1" collapsed="1" thickBot="1" x14ac:dyDescent="0.3">
      <c r="A541" s="20" t="str">
        <f>CONCATENATE("368"," - ","MISS", " ","Lauren"," ", "Martinus")</f>
        <v>368 - MISS Lauren Martinus</v>
      </c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2"/>
    </row>
    <row r="542" spans="1:29" ht="15" hidden="1" customHeight="1" outlineLevel="1" thickBot="1" x14ac:dyDescent="0.3">
      <c r="A542" s="4" t="s">
        <v>3094</v>
      </c>
      <c r="B542" s="4" t="s">
        <v>498</v>
      </c>
      <c r="C542" s="4" t="s">
        <v>2220</v>
      </c>
      <c r="D542" s="5">
        <v>42962.549999999996</v>
      </c>
      <c r="E542" s="4" t="s">
        <v>2221</v>
      </c>
      <c r="F542" s="4" t="s">
        <v>2222</v>
      </c>
      <c r="G542" s="4" t="s">
        <v>2234</v>
      </c>
      <c r="H542" s="4" t="s">
        <v>1728</v>
      </c>
      <c r="I542" s="4" t="s">
        <v>1384</v>
      </c>
      <c r="J542" s="4" t="s">
        <v>1727</v>
      </c>
      <c r="K542" s="5">
        <v>32980</v>
      </c>
      <c r="L542" s="4" t="s">
        <v>3095</v>
      </c>
      <c r="M542" s="4" t="s">
        <v>9</v>
      </c>
      <c r="N542" s="5">
        <v>41963</v>
      </c>
      <c r="O542" s="5" t="s">
        <v>2224</v>
      </c>
      <c r="P542" s="4" t="s">
        <v>2224</v>
      </c>
      <c r="Q542" s="4" t="s">
        <v>3096</v>
      </c>
      <c r="R542" s="4" t="s">
        <v>2226</v>
      </c>
      <c r="S542" s="4" t="s">
        <v>2227</v>
      </c>
      <c r="T542" s="4" t="s">
        <v>2228</v>
      </c>
      <c r="U542" s="4" t="s">
        <v>2237</v>
      </c>
      <c r="V542" s="4" t="s">
        <v>8</v>
      </c>
      <c r="W542" s="4" t="s">
        <v>2278</v>
      </c>
      <c r="X542" s="4" t="s">
        <v>2224</v>
      </c>
      <c r="Y542" s="4" t="s">
        <v>2239</v>
      </c>
      <c r="Z542" s="6">
        <v>16282.77</v>
      </c>
      <c r="AA542" s="6">
        <v>195393.24</v>
      </c>
      <c r="AB542" s="4" t="s">
        <v>2232</v>
      </c>
      <c r="AC542" s="7" t="s">
        <v>2224</v>
      </c>
    </row>
    <row r="543" spans="1:29" ht="15" customHeight="1" collapsed="1" thickBot="1" x14ac:dyDescent="0.3">
      <c r="A543" s="20" t="str">
        <f>CONCATENATE("369"," - ","MR", " ","Siphiwe"," ", "Masanabo")</f>
        <v>369 - MR Siphiwe Masanabo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2"/>
    </row>
    <row r="544" spans="1:29" ht="15" hidden="1" customHeight="1" outlineLevel="1" thickBot="1" x14ac:dyDescent="0.3">
      <c r="A544" s="4" t="s">
        <v>3097</v>
      </c>
      <c r="B544" s="4" t="s">
        <v>293</v>
      </c>
      <c r="C544" s="4" t="s">
        <v>2220</v>
      </c>
      <c r="D544" s="5">
        <v>42962.536805555552</v>
      </c>
      <c r="E544" s="4" t="s">
        <v>2221</v>
      </c>
      <c r="F544" s="4" t="s">
        <v>2222</v>
      </c>
      <c r="G544" s="4" t="s">
        <v>2014</v>
      </c>
      <c r="H544" s="4" t="s">
        <v>865</v>
      </c>
      <c r="I544" s="4" t="s">
        <v>1335</v>
      </c>
      <c r="J544" s="4" t="s">
        <v>1334</v>
      </c>
      <c r="K544" s="5">
        <v>30193</v>
      </c>
      <c r="L544" s="4" t="s">
        <v>3098</v>
      </c>
      <c r="M544" s="4" t="s">
        <v>9</v>
      </c>
      <c r="N544" s="5">
        <v>40966</v>
      </c>
      <c r="O544" s="5" t="s">
        <v>2224</v>
      </c>
      <c r="P544" s="4" t="s">
        <v>2224</v>
      </c>
      <c r="Q544" s="4" t="s">
        <v>3099</v>
      </c>
      <c r="R544" s="4" t="s">
        <v>2226</v>
      </c>
      <c r="S544" s="4" t="s">
        <v>2227</v>
      </c>
      <c r="T544" s="4" t="s">
        <v>2228</v>
      </c>
      <c r="U544" s="4" t="s">
        <v>2237</v>
      </c>
      <c r="V544" s="4" t="s">
        <v>8</v>
      </c>
      <c r="W544" s="4" t="s">
        <v>2238</v>
      </c>
      <c r="X544" s="4" t="s">
        <v>2224</v>
      </c>
      <c r="Y544" s="4" t="s">
        <v>2239</v>
      </c>
      <c r="Z544" s="6">
        <v>16900.990000000002</v>
      </c>
      <c r="AA544" s="6">
        <v>202811.88</v>
      </c>
      <c r="AB544" s="4" t="s">
        <v>2232</v>
      </c>
      <c r="AC544" s="7" t="s">
        <v>2224</v>
      </c>
    </row>
    <row r="545" spans="1:29" ht="15" customHeight="1" collapsed="1" thickBot="1" x14ac:dyDescent="0.3">
      <c r="A545" s="20" t="str">
        <f>CONCATENATE("37"," - ","MR", " ","Koos"," ", "Arries")</f>
        <v>37 - MR Koos Arries</v>
      </c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2"/>
    </row>
    <row r="546" spans="1:29" ht="15" hidden="1" customHeight="1" outlineLevel="1" thickBot="1" x14ac:dyDescent="0.3">
      <c r="A546" s="4" t="s">
        <v>3100</v>
      </c>
      <c r="B546" s="4" t="s">
        <v>215</v>
      </c>
      <c r="C546" s="4" t="s">
        <v>2220</v>
      </c>
      <c r="D546" s="5">
        <v>42962.461111111108</v>
      </c>
      <c r="E546" s="4" t="s">
        <v>2221</v>
      </c>
      <c r="F546" s="4" t="s">
        <v>2222</v>
      </c>
      <c r="G546" s="4" t="s">
        <v>2014</v>
      </c>
      <c r="H546" s="4" t="s">
        <v>1120</v>
      </c>
      <c r="I546" s="4" t="s">
        <v>1190</v>
      </c>
      <c r="J546" s="4" t="s">
        <v>1189</v>
      </c>
      <c r="K546" s="5">
        <v>30083</v>
      </c>
      <c r="L546" s="4" t="s">
        <v>3101</v>
      </c>
      <c r="M546" s="4" t="s">
        <v>9</v>
      </c>
      <c r="N546" s="5">
        <v>40148</v>
      </c>
      <c r="O546" s="5" t="s">
        <v>2224</v>
      </c>
      <c r="P546" s="4" t="s">
        <v>2224</v>
      </c>
      <c r="Q546" s="4" t="s">
        <v>3102</v>
      </c>
      <c r="R546" s="4" t="s">
        <v>2226</v>
      </c>
      <c r="S546" s="4" t="s">
        <v>2227</v>
      </c>
      <c r="T546" s="4" t="s">
        <v>2228</v>
      </c>
      <c r="U546" s="4" t="s">
        <v>2229</v>
      </c>
      <c r="V546" s="4" t="s">
        <v>17</v>
      </c>
      <c r="W546" s="4" t="s">
        <v>2230</v>
      </c>
      <c r="X546" s="4" t="s">
        <v>2224</v>
      </c>
      <c r="Y546" s="4" t="s">
        <v>2423</v>
      </c>
      <c r="Z546" s="6">
        <v>10583.1507</v>
      </c>
      <c r="AA546" s="6">
        <v>126997.81</v>
      </c>
      <c r="AB546" s="4" t="s">
        <v>2232</v>
      </c>
      <c r="AC546" s="7" t="s">
        <v>2224</v>
      </c>
    </row>
    <row r="547" spans="1:29" ht="15" customHeight="1" collapsed="1" thickBot="1" x14ac:dyDescent="0.3">
      <c r="A547" s="20" t="str">
        <f>CONCATENATE("370"," - ","MISS", " ","Kopano"," ", "Masango")</f>
        <v>370 - MISS Kopano Masango</v>
      </c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2"/>
    </row>
    <row r="548" spans="1:29" ht="15" hidden="1" customHeight="1" outlineLevel="1" thickBot="1" x14ac:dyDescent="0.3">
      <c r="A548" s="4" t="s">
        <v>3103</v>
      </c>
      <c r="B548" s="4" t="s">
        <v>462</v>
      </c>
      <c r="C548" s="4" t="s">
        <v>2220</v>
      </c>
      <c r="D548" s="5">
        <v>42962.461805555555</v>
      </c>
      <c r="E548" s="4" t="s">
        <v>2221</v>
      </c>
      <c r="F548" s="4" t="s">
        <v>2222</v>
      </c>
      <c r="G548" s="4" t="s">
        <v>2234</v>
      </c>
      <c r="H548" s="4" t="s">
        <v>1120</v>
      </c>
      <c r="I548" s="4" t="s">
        <v>1659</v>
      </c>
      <c r="J548" s="4" t="s">
        <v>1658</v>
      </c>
      <c r="K548" s="5">
        <v>32727</v>
      </c>
      <c r="L548" s="4" t="s">
        <v>3104</v>
      </c>
      <c r="M548" s="4" t="s">
        <v>9</v>
      </c>
      <c r="N548" s="5">
        <v>41758</v>
      </c>
      <c r="O548" s="5" t="s">
        <v>2224</v>
      </c>
      <c r="P548" s="4" t="s">
        <v>2224</v>
      </c>
      <c r="Q548" s="4" t="s">
        <v>3105</v>
      </c>
      <c r="R548" s="4" t="s">
        <v>2226</v>
      </c>
      <c r="S548" s="4" t="s">
        <v>2227</v>
      </c>
      <c r="T548" s="4" t="s">
        <v>2228</v>
      </c>
      <c r="U548" s="4" t="s">
        <v>2229</v>
      </c>
      <c r="V548" s="4" t="s">
        <v>25</v>
      </c>
      <c r="W548" s="4" t="s">
        <v>2278</v>
      </c>
      <c r="X548" s="4" t="s">
        <v>2224</v>
      </c>
      <c r="Y548" s="4" t="s">
        <v>2419</v>
      </c>
      <c r="Z548" s="6">
        <v>16282.724</v>
      </c>
      <c r="AA548" s="6">
        <v>195392.69</v>
      </c>
      <c r="AB548" s="4" t="s">
        <v>2232</v>
      </c>
      <c r="AC548" s="7" t="s">
        <v>2224</v>
      </c>
    </row>
    <row r="549" spans="1:29" ht="15" customHeight="1" collapsed="1" thickBot="1" x14ac:dyDescent="0.3">
      <c r="A549" s="20" t="str">
        <f>CONCATENATE("371"," - ","MRS", " ","Eunice"," ", "Masekoameng")</f>
        <v>371 - MRS Eunice Masekoameng</v>
      </c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2"/>
    </row>
    <row r="550" spans="1:29" ht="15" hidden="1" customHeight="1" outlineLevel="1" thickBot="1" x14ac:dyDescent="0.3">
      <c r="A550" s="4" t="s">
        <v>3106</v>
      </c>
      <c r="B550" s="4" t="s">
        <v>29</v>
      </c>
      <c r="C550" s="4" t="s">
        <v>2220</v>
      </c>
      <c r="D550" s="5">
        <v>42962.461805555555</v>
      </c>
      <c r="E550" s="4" t="s">
        <v>2221</v>
      </c>
      <c r="F550" s="4" t="s">
        <v>2222</v>
      </c>
      <c r="G550" s="4" t="s">
        <v>2280</v>
      </c>
      <c r="H550" s="4" t="s">
        <v>816</v>
      </c>
      <c r="I550" s="4" t="s">
        <v>817</v>
      </c>
      <c r="J550" s="4" t="s">
        <v>815</v>
      </c>
      <c r="K550" s="5">
        <v>27968</v>
      </c>
      <c r="L550" s="4" t="s">
        <v>3107</v>
      </c>
      <c r="M550" s="4" t="s">
        <v>9</v>
      </c>
      <c r="N550" s="5">
        <v>38978</v>
      </c>
      <c r="O550" s="5" t="s">
        <v>2224</v>
      </c>
      <c r="P550" s="4" t="s">
        <v>2224</v>
      </c>
      <c r="Q550" s="4" t="s">
        <v>3108</v>
      </c>
      <c r="R550" s="4" t="s">
        <v>2226</v>
      </c>
      <c r="S550" s="4" t="s">
        <v>2227</v>
      </c>
      <c r="T550" s="4" t="s">
        <v>2228</v>
      </c>
      <c r="U550" s="4" t="s">
        <v>2229</v>
      </c>
      <c r="V550" s="4" t="s">
        <v>25</v>
      </c>
      <c r="W550" s="4" t="s">
        <v>2608</v>
      </c>
      <c r="X550" s="4" t="s">
        <v>2224</v>
      </c>
      <c r="Y550" s="4" t="s">
        <v>2449</v>
      </c>
      <c r="Z550" s="6">
        <v>17112.314999999999</v>
      </c>
      <c r="AA550" s="6">
        <v>205347.78</v>
      </c>
      <c r="AB550" s="4" t="s">
        <v>2232</v>
      </c>
      <c r="AC550" s="7" t="s">
        <v>2224</v>
      </c>
    </row>
    <row r="551" spans="1:29" ht="15" customHeight="1" collapsed="1" thickBot="1" x14ac:dyDescent="0.3">
      <c r="A551" s="20" t="str">
        <f>CONCATENATE("374"," - ","MR", " ","Vonty"," ", "Mashego")</f>
        <v>374 - MR Vonty Mashego</v>
      </c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2"/>
    </row>
    <row r="552" spans="1:29" ht="15" hidden="1" customHeight="1" outlineLevel="1" thickBot="1" x14ac:dyDescent="0.3">
      <c r="A552" s="4" t="s">
        <v>3109</v>
      </c>
      <c r="B552" s="4" t="s">
        <v>26</v>
      </c>
      <c r="C552" s="4" t="s">
        <v>2220</v>
      </c>
      <c r="D552" s="5">
        <v>42962.462500000001</v>
      </c>
      <c r="E552" s="4" t="s">
        <v>2221</v>
      </c>
      <c r="F552" s="4" t="s">
        <v>2222</v>
      </c>
      <c r="G552" s="4" t="s">
        <v>2014</v>
      </c>
      <c r="H552" s="4" t="s">
        <v>810</v>
      </c>
      <c r="I552" s="4" t="s">
        <v>811</v>
      </c>
      <c r="J552" s="4" t="s">
        <v>809</v>
      </c>
      <c r="K552" s="5">
        <v>31137</v>
      </c>
      <c r="L552" s="4" t="s">
        <v>3110</v>
      </c>
      <c r="M552" s="4" t="s">
        <v>9</v>
      </c>
      <c r="N552" s="5">
        <v>38978</v>
      </c>
      <c r="O552" s="5" t="s">
        <v>2224</v>
      </c>
      <c r="P552" s="4" t="s">
        <v>2224</v>
      </c>
      <c r="Q552" s="4" t="s">
        <v>3111</v>
      </c>
      <c r="R552" s="4" t="s">
        <v>2226</v>
      </c>
      <c r="S552" s="4" t="s">
        <v>2227</v>
      </c>
      <c r="T552" s="4" t="s">
        <v>2228</v>
      </c>
      <c r="U552" s="4" t="s">
        <v>2248</v>
      </c>
      <c r="V552" s="4" t="s">
        <v>191</v>
      </c>
      <c r="W552" s="4" t="s">
        <v>3112</v>
      </c>
      <c r="X552" s="4" t="s">
        <v>2224</v>
      </c>
      <c r="Y552" s="4" t="s">
        <v>2887</v>
      </c>
      <c r="Z552" s="6">
        <v>38479.968399999998</v>
      </c>
      <c r="AA552" s="6">
        <v>461759.62</v>
      </c>
      <c r="AB552" s="4" t="s">
        <v>2232</v>
      </c>
      <c r="AC552" s="7" t="s">
        <v>2224</v>
      </c>
    </row>
    <row r="553" spans="1:29" ht="15" customHeight="1" collapsed="1" thickBot="1" x14ac:dyDescent="0.3">
      <c r="A553" s="20" t="str">
        <f>CONCATENATE("375"," - ","MISS", " ","Leah"," ", "Mashiane")</f>
        <v>375 - MISS Leah Mashiane</v>
      </c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2"/>
    </row>
    <row r="554" spans="1:29" ht="15" hidden="1" customHeight="1" outlineLevel="1" thickBot="1" x14ac:dyDescent="0.3">
      <c r="A554" s="4" t="s">
        <v>3113</v>
      </c>
      <c r="B554" s="4" t="s">
        <v>543</v>
      </c>
      <c r="C554" s="4" t="s">
        <v>2220</v>
      </c>
      <c r="D554" s="5">
        <v>42962.549999999996</v>
      </c>
      <c r="E554" s="4" t="s">
        <v>2221</v>
      </c>
      <c r="F554" s="4" t="s">
        <v>2222</v>
      </c>
      <c r="G554" s="4" t="s">
        <v>2234</v>
      </c>
      <c r="H554" s="4" t="s">
        <v>826</v>
      </c>
      <c r="I554" s="4" t="s">
        <v>1812</v>
      </c>
      <c r="J554" s="4" t="s">
        <v>1811</v>
      </c>
      <c r="K554" s="5">
        <v>34080</v>
      </c>
      <c r="L554" s="4" t="s">
        <v>3114</v>
      </c>
      <c r="M554" s="4" t="s">
        <v>9</v>
      </c>
      <c r="N554" s="5">
        <v>42072</v>
      </c>
      <c r="O554" s="5" t="s">
        <v>2224</v>
      </c>
      <c r="P554" s="4" t="s">
        <v>2224</v>
      </c>
      <c r="Q554" s="4" t="s">
        <v>2552</v>
      </c>
      <c r="R554" s="4" t="s">
        <v>2226</v>
      </c>
      <c r="S554" s="4" t="s">
        <v>2227</v>
      </c>
      <c r="T554" s="4" t="s">
        <v>2228</v>
      </c>
      <c r="U554" s="4" t="s">
        <v>2237</v>
      </c>
      <c r="V554" s="4" t="s">
        <v>8</v>
      </c>
      <c r="W554" s="4" t="s">
        <v>2278</v>
      </c>
      <c r="X554" s="4" t="s">
        <v>2224</v>
      </c>
      <c r="Y554" s="4" t="s">
        <v>2239</v>
      </c>
      <c r="Z554" s="6">
        <v>16081.7</v>
      </c>
      <c r="AA554" s="6">
        <v>192980.4</v>
      </c>
      <c r="AB554" s="4" t="s">
        <v>2232</v>
      </c>
      <c r="AC554" s="7" t="s">
        <v>2224</v>
      </c>
    </row>
    <row r="555" spans="1:29" ht="15" customHeight="1" collapsed="1" thickBot="1" x14ac:dyDescent="0.3">
      <c r="A555" s="20" t="str">
        <f>CONCATENATE("376"," - ","MR", " ","Humphrey"," ", "Mashigo")</f>
        <v>376 - MR Humphrey Mashigo</v>
      </c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2"/>
    </row>
    <row r="556" spans="1:29" ht="15" hidden="1" customHeight="1" outlineLevel="1" thickBot="1" x14ac:dyDescent="0.3">
      <c r="A556" s="4" t="s">
        <v>3115</v>
      </c>
      <c r="B556" s="4" t="s">
        <v>35</v>
      </c>
      <c r="C556" s="4" t="s">
        <v>2220</v>
      </c>
      <c r="D556" s="5">
        <v>42962.461805555555</v>
      </c>
      <c r="E556" s="4" t="s">
        <v>2221</v>
      </c>
      <c r="F556" s="4" t="s">
        <v>2222</v>
      </c>
      <c r="G556" s="4" t="s">
        <v>2014</v>
      </c>
      <c r="H556" s="4" t="s">
        <v>832</v>
      </c>
      <c r="I556" s="4" t="s">
        <v>833</v>
      </c>
      <c r="J556" s="4" t="s">
        <v>831</v>
      </c>
      <c r="K556" s="5">
        <v>27122</v>
      </c>
      <c r="L556" s="4" t="s">
        <v>3116</v>
      </c>
      <c r="M556" s="4" t="s">
        <v>9</v>
      </c>
      <c r="N556" s="5">
        <v>38985</v>
      </c>
      <c r="O556" s="5" t="s">
        <v>2224</v>
      </c>
      <c r="P556" s="4" t="s">
        <v>2224</v>
      </c>
      <c r="Q556" s="4" t="s">
        <v>3117</v>
      </c>
      <c r="R556" s="4" t="s">
        <v>2226</v>
      </c>
      <c r="S556" s="4" t="s">
        <v>2227</v>
      </c>
      <c r="T556" s="4" t="s">
        <v>2228</v>
      </c>
      <c r="U556" s="4" t="s">
        <v>2229</v>
      </c>
      <c r="V556" s="4" t="s">
        <v>17</v>
      </c>
      <c r="W556" s="4" t="s">
        <v>3018</v>
      </c>
      <c r="X556" s="4" t="s">
        <v>2224</v>
      </c>
      <c r="Y556" s="4" t="s">
        <v>2689</v>
      </c>
      <c r="Z556" s="6">
        <v>21430.874299999999</v>
      </c>
      <c r="AA556" s="6">
        <v>257170.49</v>
      </c>
      <c r="AB556" s="4" t="s">
        <v>2232</v>
      </c>
      <c r="AC556" s="7" t="s">
        <v>2224</v>
      </c>
    </row>
    <row r="557" spans="1:29" ht="15" customHeight="1" collapsed="1" thickBot="1" x14ac:dyDescent="0.3">
      <c r="A557" s="20" t="str">
        <f>CONCATENATE("377"," - ","MS", " ","Nozuko"," ", "Mashile")</f>
        <v>377 - MS Nozuko Mashile</v>
      </c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2"/>
    </row>
    <row r="558" spans="1:29" ht="15" hidden="1" customHeight="1" outlineLevel="1" thickBot="1" x14ac:dyDescent="0.3">
      <c r="A558" s="4" t="s">
        <v>3118</v>
      </c>
      <c r="B558" s="4" t="s">
        <v>633</v>
      </c>
      <c r="C558" s="4" t="s">
        <v>2220</v>
      </c>
      <c r="D558" s="5">
        <v>42962.462500000001</v>
      </c>
      <c r="E558" s="4" t="s">
        <v>2221</v>
      </c>
      <c r="F558" s="4" t="s">
        <v>2222</v>
      </c>
      <c r="G558" s="4" t="s">
        <v>813</v>
      </c>
      <c r="H558" s="4" t="s">
        <v>797</v>
      </c>
      <c r="I558" s="4" t="s">
        <v>1957</v>
      </c>
      <c r="J558" s="4" t="s">
        <v>1956</v>
      </c>
      <c r="K558" s="5">
        <v>25060</v>
      </c>
      <c r="L558" s="4" t="s">
        <v>3119</v>
      </c>
      <c r="M558" s="4" t="s">
        <v>9</v>
      </c>
      <c r="N558" s="5">
        <v>42324</v>
      </c>
      <c r="O558" s="5" t="s">
        <v>2224</v>
      </c>
      <c r="P558" s="4" t="s">
        <v>2224</v>
      </c>
      <c r="Q558" s="4" t="s">
        <v>3120</v>
      </c>
      <c r="R558" s="4" t="s">
        <v>2226</v>
      </c>
      <c r="S558" s="4" t="s">
        <v>2227</v>
      </c>
      <c r="T558" s="4" t="s">
        <v>2228</v>
      </c>
      <c r="U558" s="4" t="s">
        <v>2248</v>
      </c>
      <c r="V558" s="4" t="s">
        <v>634</v>
      </c>
      <c r="W558" s="4" t="s">
        <v>2249</v>
      </c>
      <c r="X558" s="4" t="s">
        <v>2224</v>
      </c>
      <c r="Y558" s="4" t="s">
        <v>2887</v>
      </c>
      <c r="Z558" s="6">
        <v>24211.283100000001</v>
      </c>
      <c r="AA558" s="6">
        <v>290535.40000000002</v>
      </c>
      <c r="AB558" s="4" t="s">
        <v>2232</v>
      </c>
      <c r="AC558" s="7" t="s">
        <v>2224</v>
      </c>
    </row>
    <row r="559" spans="1:29" ht="15" customHeight="1" collapsed="1" thickBot="1" x14ac:dyDescent="0.3">
      <c r="A559" s="20" t="str">
        <f>CONCATENATE("378"," - ","MR", " ","Sakhile"," ", "Mashiyane")</f>
        <v>378 - MR Sakhile Mashiyane</v>
      </c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2"/>
    </row>
    <row r="560" spans="1:29" ht="15" hidden="1" customHeight="1" outlineLevel="1" thickBot="1" x14ac:dyDescent="0.3">
      <c r="A560" s="4" t="s">
        <v>3121</v>
      </c>
      <c r="B560" s="4" t="s">
        <v>58</v>
      </c>
      <c r="C560" s="4" t="s">
        <v>2220</v>
      </c>
      <c r="D560" s="5">
        <v>42962.462500000001</v>
      </c>
      <c r="E560" s="4" t="s">
        <v>2221</v>
      </c>
      <c r="F560" s="4" t="s">
        <v>2222</v>
      </c>
      <c r="G560" s="4" t="s">
        <v>2014</v>
      </c>
      <c r="H560" s="4" t="s">
        <v>800</v>
      </c>
      <c r="I560" s="4" t="s">
        <v>874</v>
      </c>
      <c r="J560" s="4" t="s">
        <v>873</v>
      </c>
      <c r="K560" s="5">
        <v>30979</v>
      </c>
      <c r="L560" s="4" t="s">
        <v>3122</v>
      </c>
      <c r="M560" s="4" t="s">
        <v>9</v>
      </c>
      <c r="N560" s="5">
        <v>38992</v>
      </c>
      <c r="O560" s="5" t="s">
        <v>2224</v>
      </c>
      <c r="P560" s="4" t="s">
        <v>2224</v>
      </c>
      <c r="Q560" s="4" t="s">
        <v>3123</v>
      </c>
      <c r="R560" s="4" t="s">
        <v>2226</v>
      </c>
      <c r="S560" s="4" t="s">
        <v>2227</v>
      </c>
      <c r="T560" s="4" t="s">
        <v>2228</v>
      </c>
      <c r="U560" s="4" t="s">
        <v>2248</v>
      </c>
      <c r="V560" s="4" t="s">
        <v>27</v>
      </c>
      <c r="W560" s="4" t="s">
        <v>2249</v>
      </c>
      <c r="X560" s="4" t="s">
        <v>2224</v>
      </c>
      <c r="Y560" s="4" t="s">
        <v>2887</v>
      </c>
      <c r="Z560" s="6">
        <v>24065.4758</v>
      </c>
      <c r="AA560" s="6">
        <v>288785.71000000002</v>
      </c>
      <c r="AB560" s="4" t="s">
        <v>2232</v>
      </c>
      <c r="AC560" s="7" t="s">
        <v>2224</v>
      </c>
    </row>
    <row r="561" spans="1:29" ht="15" customHeight="1" collapsed="1" thickBot="1" x14ac:dyDescent="0.3">
      <c r="A561" s="20" t="str">
        <f>CONCATENATE("379"," - ","MS", " ","Mashudu"," ", "Mashua")</f>
        <v>379 - MS Mashudu Mashua</v>
      </c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2"/>
    </row>
    <row r="562" spans="1:29" ht="15" hidden="1" customHeight="1" outlineLevel="1" thickBot="1" x14ac:dyDescent="0.3">
      <c r="A562" s="4" t="s">
        <v>3124</v>
      </c>
      <c r="B562" s="4" t="s">
        <v>772</v>
      </c>
      <c r="C562" s="4" t="s">
        <v>2220</v>
      </c>
      <c r="D562" s="5">
        <v>42962.549999999996</v>
      </c>
      <c r="E562" s="4" t="s">
        <v>2221</v>
      </c>
      <c r="F562" s="4" t="s">
        <v>2222</v>
      </c>
      <c r="G562" s="4" t="s">
        <v>813</v>
      </c>
      <c r="H562" s="4" t="s">
        <v>813</v>
      </c>
      <c r="I562" s="4" t="s">
        <v>2180</v>
      </c>
      <c r="J562" s="4" t="s">
        <v>2179</v>
      </c>
      <c r="K562" s="5">
        <v>31527</v>
      </c>
      <c r="L562" s="4" t="s">
        <v>3125</v>
      </c>
      <c r="M562" s="4" t="s">
        <v>9</v>
      </c>
      <c r="N562" s="5">
        <v>42887</v>
      </c>
      <c r="O562" s="5" t="s">
        <v>2224</v>
      </c>
      <c r="P562" s="4" t="s">
        <v>2224</v>
      </c>
      <c r="Q562" s="4" t="s">
        <v>3126</v>
      </c>
      <c r="R562" s="4" t="s">
        <v>2226</v>
      </c>
      <c r="S562" s="4" t="s">
        <v>2227</v>
      </c>
      <c r="T562" s="4" t="s">
        <v>2228</v>
      </c>
      <c r="U562" s="4" t="s">
        <v>2237</v>
      </c>
      <c r="V562" s="4" t="s">
        <v>8</v>
      </c>
      <c r="W562" s="4" t="s">
        <v>2238</v>
      </c>
      <c r="X562" s="4" t="s">
        <v>2224</v>
      </c>
      <c r="Y562" s="4" t="s">
        <v>2239</v>
      </c>
      <c r="Z562" s="6">
        <v>15883.16</v>
      </c>
      <c r="AA562" s="6">
        <v>190597.92</v>
      </c>
      <c r="AB562" s="4" t="s">
        <v>2224</v>
      </c>
      <c r="AC562" s="7" t="s">
        <v>2244</v>
      </c>
    </row>
    <row r="563" spans="1:29" ht="15" customHeight="1" collapsed="1" thickBot="1" x14ac:dyDescent="0.3">
      <c r="A563" s="20" t="str">
        <f>CONCATENATE("38"," - ","MR", " ","Imran"," ", "Asmal")</f>
        <v>38 - MR Imran Asmal</v>
      </c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2"/>
    </row>
    <row r="564" spans="1:29" ht="15" hidden="1" customHeight="1" outlineLevel="1" thickBot="1" x14ac:dyDescent="0.3">
      <c r="A564" s="4" t="s">
        <v>3127</v>
      </c>
      <c r="B564" s="4" t="s">
        <v>77</v>
      </c>
      <c r="C564" s="4" t="s">
        <v>2220</v>
      </c>
      <c r="D564" s="5">
        <v>42962.461111111108</v>
      </c>
      <c r="E564" s="4" t="s">
        <v>2221</v>
      </c>
      <c r="F564" s="4" t="s">
        <v>2222</v>
      </c>
      <c r="G564" s="4" t="s">
        <v>2014</v>
      </c>
      <c r="H564" s="4" t="s">
        <v>744</v>
      </c>
      <c r="I564" s="4" t="s">
        <v>912</v>
      </c>
      <c r="J564" s="4" t="s">
        <v>911</v>
      </c>
      <c r="K564" s="5">
        <v>30531</v>
      </c>
      <c r="L564" s="4" t="s">
        <v>3128</v>
      </c>
      <c r="M564" s="4" t="s">
        <v>9</v>
      </c>
      <c r="N564" s="5">
        <v>39020</v>
      </c>
      <c r="O564" s="5" t="s">
        <v>2224</v>
      </c>
      <c r="P564" s="4" t="s">
        <v>2224</v>
      </c>
      <c r="Q564" s="4" t="s">
        <v>3129</v>
      </c>
      <c r="R564" s="4" t="s">
        <v>2226</v>
      </c>
      <c r="S564" s="4" t="s">
        <v>2227</v>
      </c>
      <c r="T564" s="4" t="s">
        <v>2228</v>
      </c>
      <c r="U564" s="4" t="s">
        <v>2229</v>
      </c>
      <c r="V564" s="4" t="s">
        <v>25</v>
      </c>
      <c r="W564" s="4" t="s">
        <v>2278</v>
      </c>
      <c r="X564" s="4" t="s">
        <v>2224</v>
      </c>
      <c r="Y564" s="4" t="s">
        <v>2394</v>
      </c>
      <c r="Z564" s="6">
        <v>17112.2621</v>
      </c>
      <c r="AA564" s="6">
        <v>205347.15</v>
      </c>
      <c r="AB564" s="4" t="s">
        <v>2232</v>
      </c>
      <c r="AC564" s="7" t="s">
        <v>2224</v>
      </c>
    </row>
    <row r="565" spans="1:29" ht="15" customHeight="1" collapsed="1" thickBot="1" x14ac:dyDescent="0.3">
      <c r="A565" s="20" t="str">
        <f>CONCATENATE("380"," - ","MR", " ","Kenanawo"," ", "Mashupye")</f>
        <v>380 - MR Kenanawo Mashupye</v>
      </c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2"/>
    </row>
    <row r="566" spans="1:29" ht="15" hidden="1" customHeight="1" outlineLevel="1" thickBot="1" x14ac:dyDescent="0.3">
      <c r="A566" s="4" t="s">
        <v>3130</v>
      </c>
      <c r="B566" s="4" t="s">
        <v>676</v>
      </c>
      <c r="C566" s="4" t="s">
        <v>2220</v>
      </c>
      <c r="D566" s="5">
        <v>42962.550694444442</v>
      </c>
      <c r="E566" s="4" t="s">
        <v>2221</v>
      </c>
      <c r="F566" s="4" t="s">
        <v>2222</v>
      </c>
      <c r="G566" s="4" t="s">
        <v>2014</v>
      </c>
      <c r="H566" s="4" t="s">
        <v>1359</v>
      </c>
      <c r="I566" s="4" t="s">
        <v>2025</v>
      </c>
      <c r="J566" s="4" t="s">
        <v>2024</v>
      </c>
      <c r="K566" s="5">
        <v>30151</v>
      </c>
      <c r="L566" s="4" t="s">
        <v>3131</v>
      </c>
      <c r="M566" s="4" t="s">
        <v>9</v>
      </c>
      <c r="N566" s="5">
        <v>42491</v>
      </c>
      <c r="O566" s="5" t="s">
        <v>2224</v>
      </c>
      <c r="P566" s="4" t="s">
        <v>2224</v>
      </c>
      <c r="Q566" s="4" t="s">
        <v>3132</v>
      </c>
      <c r="R566" s="4" t="s">
        <v>2226</v>
      </c>
      <c r="S566" s="4" t="s">
        <v>2227</v>
      </c>
      <c r="T566" s="4" t="s">
        <v>2228</v>
      </c>
      <c r="U566" s="4" t="s">
        <v>2248</v>
      </c>
      <c r="V566" s="4" t="s">
        <v>185</v>
      </c>
      <c r="W566" s="4" t="s">
        <v>2249</v>
      </c>
      <c r="X566" s="4" t="s">
        <v>2224</v>
      </c>
      <c r="Y566" s="4" t="s">
        <v>2473</v>
      </c>
      <c r="Z566" s="6">
        <v>31764</v>
      </c>
      <c r="AA566" s="6">
        <v>381168</v>
      </c>
      <c r="AB566" s="4" t="s">
        <v>2232</v>
      </c>
      <c r="AC566" s="7" t="s">
        <v>2224</v>
      </c>
    </row>
    <row r="567" spans="1:29" ht="15" customHeight="1" collapsed="1" thickBot="1" x14ac:dyDescent="0.3">
      <c r="A567" s="20" t="str">
        <f>CONCATENATE("381"," - ","MS", " ","Amy"," ", "Masilo")</f>
        <v>381 - MS Amy Masilo</v>
      </c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2"/>
    </row>
    <row r="568" spans="1:29" ht="15" hidden="1" customHeight="1" outlineLevel="1" thickBot="1" x14ac:dyDescent="0.3">
      <c r="A568" s="4" t="s">
        <v>3133</v>
      </c>
      <c r="B568" s="4" t="s">
        <v>650</v>
      </c>
      <c r="C568" s="4" t="s">
        <v>2220</v>
      </c>
      <c r="D568" s="5">
        <v>42962.549999999996</v>
      </c>
      <c r="E568" s="4" t="s">
        <v>2221</v>
      </c>
      <c r="F568" s="4" t="s">
        <v>2222</v>
      </c>
      <c r="G568" s="4" t="s">
        <v>813</v>
      </c>
      <c r="H568" s="4" t="s">
        <v>742</v>
      </c>
      <c r="I568" s="4" t="s">
        <v>1983</v>
      </c>
      <c r="J568" s="4" t="s">
        <v>1982</v>
      </c>
      <c r="K568" s="5">
        <v>35183</v>
      </c>
      <c r="L568" s="4" t="s">
        <v>3134</v>
      </c>
      <c r="M568" s="4" t="s">
        <v>9</v>
      </c>
      <c r="N568" s="5">
        <v>42332</v>
      </c>
      <c r="O568" s="5" t="s">
        <v>2224</v>
      </c>
      <c r="P568" s="4" t="s">
        <v>2224</v>
      </c>
      <c r="Q568" s="4" t="s">
        <v>3135</v>
      </c>
      <c r="R568" s="4" t="s">
        <v>2226</v>
      </c>
      <c r="S568" s="4" t="s">
        <v>2227</v>
      </c>
      <c r="T568" s="4" t="s">
        <v>2228</v>
      </c>
      <c r="U568" s="4" t="s">
        <v>2237</v>
      </c>
      <c r="V568" s="4" t="s">
        <v>8</v>
      </c>
      <c r="W568" s="4" t="s">
        <v>2278</v>
      </c>
      <c r="X568" s="4" t="s">
        <v>2224</v>
      </c>
      <c r="Y568" s="4" t="s">
        <v>2239</v>
      </c>
      <c r="Z568" s="6">
        <v>16081.7</v>
      </c>
      <c r="AA568" s="6">
        <v>192980.4</v>
      </c>
      <c r="AB568" s="4" t="s">
        <v>2232</v>
      </c>
      <c r="AC568" s="7" t="s">
        <v>2224</v>
      </c>
    </row>
    <row r="569" spans="1:29" ht="15" customHeight="1" collapsed="1" thickBot="1" x14ac:dyDescent="0.3">
      <c r="A569" s="20" t="str">
        <f>CONCATENATE("382"," - ","MISS", " ","Laurentia"," ", "Masinyane")</f>
        <v>382 - MISS Laurentia Masinyane</v>
      </c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2"/>
    </row>
    <row r="570" spans="1:29" ht="15" hidden="1" customHeight="1" outlineLevel="1" thickBot="1" x14ac:dyDescent="0.3">
      <c r="A570" s="4" t="s">
        <v>3136</v>
      </c>
      <c r="B570" s="4" t="s">
        <v>72</v>
      </c>
      <c r="C570" s="4" t="s">
        <v>2220</v>
      </c>
      <c r="D570" s="5">
        <v>42962.462500000001</v>
      </c>
      <c r="E570" s="4" t="s">
        <v>2221</v>
      </c>
      <c r="F570" s="4" t="s">
        <v>2222</v>
      </c>
      <c r="G570" s="4" t="s">
        <v>2234</v>
      </c>
      <c r="H570" s="4" t="s">
        <v>826</v>
      </c>
      <c r="I570" s="4" t="s">
        <v>902</v>
      </c>
      <c r="J570" s="4" t="s">
        <v>901</v>
      </c>
      <c r="K570" s="5">
        <v>29260</v>
      </c>
      <c r="L570" s="4" t="s">
        <v>3137</v>
      </c>
      <c r="M570" s="4" t="s">
        <v>9</v>
      </c>
      <c r="N570" s="5">
        <v>39006</v>
      </c>
      <c r="O570" s="5" t="s">
        <v>2224</v>
      </c>
      <c r="P570" s="4" t="s">
        <v>2224</v>
      </c>
      <c r="Q570" s="4" t="s">
        <v>3138</v>
      </c>
      <c r="R570" s="4" t="s">
        <v>2226</v>
      </c>
      <c r="S570" s="4" t="s">
        <v>2227</v>
      </c>
      <c r="T570" s="4" t="s">
        <v>2228</v>
      </c>
      <c r="U570" s="4" t="s">
        <v>2248</v>
      </c>
      <c r="V570" s="4" t="s">
        <v>25</v>
      </c>
      <c r="W570" s="4" t="s">
        <v>2278</v>
      </c>
      <c r="X570" s="4" t="s">
        <v>2224</v>
      </c>
      <c r="Y570" s="4" t="s">
        <v>2609</v>
      </c>
      <c r="Z570" s="6">
        <v>17112.2621</v>
      </c>
      <c r="AA570" s="6">
        <v>205347.15</v>
      </c>
      <c r="AB570" s="4" t="s">
        <v>2232</v>
      </c>
      <c r="AC570" s="7" t="s">
        <v>2224</v>
      </c>
    </row>
    <row r="571" spans="1:29" ht="15" customHeight="1" collapsed="1" thickBot="1" x14ac:dyDescent="0.3">
      <c r="A571" s="20" t="str">
        <f>CONCATENATE("383"," - ","MISS", " ","Tshepiso"," ", "Maswanganyi")</f>
        <v>383 - MISS Tshepiso Maswanganyi</v>
      </c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2"/>
    </row>
    <row r="572" spans="1:29" ht="15" hidden="1" customHeight="1" outlineLevel="1" thickBot="1" x14ac:dyDescent="0.3">
      <c r="A572" s="4" t="s">
        <v>3139</v>
      </c>
      <c r="B572" s="4" t="s">
        <v>486</v>
      </c>
      <c r="C572" s="4" t="s">
        <v>2220</v>
      </c>
      <c r="D572" s="5">
        <v>42962.549999999996</v>
      </c>
      <c r="E572" s="4" t="s">
        <v>2221</v>
      </c>
      <c r="F572" s="4" t="s">
        <v>2222</v>
      </c>
      <c r="G572" s="4" t="s">
        <v>2234</v>
      </c>
      <c r="H572" s="4" t="s">
        <v>819</v>
      </c>
      <c r="I572" s="4" t="s">
        <v>1706</v>
      </c>
      <c r="J572" s="4" t="s">
        <v>1705</v>
      </c>
      <c r="K572" s="5">
        <v>34125</v>
      </c>
      <c r="L572" s="4" t="s">
        <v>3140</v>
      </c>
      <c r="M572" s="4" t="s">
        <v>9</v>
      </c>
      <c r="N572" s="5">
        <v>41918</v>
      </c>
      <c r="O572" s="5" t="s">
        <v>2224</v>
      </c>
      <c r="P572" s="4" t="s">
        <v>2224</v>
      </c>
      <c r="Q572" s="4" t="s">
        <v>3141</v>
      </c>
      <c r="R572" s="4" t="s">
        <v>2226</v>
      </c>
      <c r="S572" s="4" t="s">
        <v>2793</v>
      </c>
      <c r="T572" s="4" t="s">
        <v>2228</v>
      </c>
      <c r="U572" s="4" t="s">
        <v>2237</v>
      </c>
      <c r="V572" s="4" t="s">
        <v>8</v>
      </c>
      <c r="W572" s="4" t="s">
        <v>2278</v>
      </c>
      <c r="X572" s="4" t="s">
        <v>2224</v>
      </c>
      <c r="Y572" s="4" t="s">
        <v>2239</v>
      </c>
      <c r="Z572" s="6">
        <v>8141.38</v>
      </c>
      <c r="AA572" s="6">
        <v>97696.56</v>
      </c>
      <c r="AB572" s="4" t="s">
        <v>2232</v>
      </c>
      <c r="AC572" s="7" t="s">
        <v>2224</v>
      </c>
    </row>
    <row r="573" spans="1:29" ht="15" customHeight="1" collapsed="1" thickBot="1" x14ac:dyDescent="0.3">
      <c r="A573" s="20" t="str">
        <f>CONCATENATE("384"," - ","MRS", " ","Sinenhlanhla"," ", "Mathaba")</f>
        <v>384 - MRS Sinenhlanhla Mathaba</v>
      </c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2"/>
    </row>
    <row r="574" spans="1:29" ht="15" hidden="1" customHeight="1" outlineLevel="1" thickBot="1" x14ac:dyDescent="0.3">
      <c r="A574" s="4" t="s">
        <v>3142</v>
      </c>
      <c r="B574" s="4" t="s">
        <v>20</v>
      </c>
      <c r="C574" s="4" t="s">
        <v>2220</v>
      </c>
      <c r="D574" s="5">
        <v>42962.462500000001</v>
      </c>
      <c r="E574" s="4" t="s">
        <v>2221</v>
      </c>
      <c r="F574" s="4" t="s">
        <v>2222</v>
      </c>
      <c r="G574" s="4" t="s">
        <v>2280</v>
      </c>
      <c r="H574" s="4" t="s">
        <v>800</v>
      </c>
      <c r="I574" s="4" t="s">
        <v>801</v>
      </c>
      <c r="J574" s="4" t="s">
        <v>799</v>
      </c>
      <c r="K574" s="5">
        <v>29330</v>
      </c>
      <c r="L574" s="4" t="s">
        <v>3143</v>
      </c>
      <c r="M574" s="4" t="s">
        <v>9</v>
      </c>
      <c r="N574" s="5">
        <v>38971</v>
      </c>
      <c r="O574" s="5" t="s">
        <v>2224</v>
      </c>
      <c r="P574" s="4" t="s">
        <v>2224</v>
      </c>
      <c r="Q574" s="4" t="s">
        <v>3144</v>
      </c>
      <c r="R574" s="4" t="s">
        <v>2226</v>
      </c>
      <c r="S574" s="4" t="s">
        <v>2227</v>
      </c>
      <c r="T574" s="4" t="s">
        <v>2228</v>
      </c>
      <c r="U574" s="4" t="s">
        <v>2248</v>
      </c>
      <c r="V574" s="4" t="s">
        <v>21</v>
      </c>
      <c r="W574" s="4" t="s">
        <v>3145</v>
      </c>
      <c r="X574" s="4" t="s">
        <v>2224</v>
      </c>
      <c r="Y574" s="4" t="s">
        <v>2518</v>
      </c>
      <c r="Z574" s="6">
        <v>24210.224300000002</v>
      </c>
      <c r="AA574" s="6">
        <v>290522.69</v>
      </c>
      <c r="AB574" s="4" t="s">
        <v>2232</v>
      </c>
      <c r="AC574" s="7" t="s">
        <v>2224</v>
      </c>
    </row>
    <row r="575" spans="1:29" ht="15" customHeight="1" collapsed="1" thickBot="1" x14ac:dyDescent="0.3">
      <c r="A575" s="20" t="str">
        <f>CONCATENATE("386"," - ","MR", " ","Makatisi"," ", "Mathetsa")</f>
        <v>386 - MR Makatisi Mathetsa</v>
      </c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2"/>
    </row>
    <row r="576" spans="1:29" ht="15" hidden="1" customHeight="1" outlineLevel="1" thickBot="1" x14ac:dyDescent="0.3">
      <c r="A576" s="4" t="s">
        <v>3146</v>
      </c>
      <c r="B576" s="4" t="s">
        <v>767</v>
      </c>
      <c r="C576" s="4" t="s">
        <v>2220</v>
      </c>
      <c r="D576" s="5">
        <v>42962.549999999996</v>
      </c>
      <c r="E576" s="4" t="s">
        <v>2221</v>
      </c>
      <c r="F576" s="4" t="s">
        <v>2222</v>
      </c>
      <c r="G576" s="4" t="s">
        <v>2014</v>
      </c>
      <c r="H576" s="4" t="s">
        <v>1408</v>
      </c>
      <c r="I576" s="4" t="s">
        <v>2185</v>
      </c>
      <c r="J576" s="4" t="s">
        <v>2184</v>
      </c>
      <c r="K576" s="5">
        <v>31472</v>
      </c>
      <c r="L576" s="4" t="s">
        <v>3147</v>
      </c>
      <c r="M576" s="4" t="s">
        <v>9</v>
      </c>
      <c r="N576" s="5">
        <v>42887</v>
      </c>
      <c r="O576" s="5" t="s">
        <v>2224</v>
      </c>
      <c r="P576" s="4" t="s">
        <v>2224</v>
      </c>
      <c r="Q576" s="4" t="s">
        <v>2224</v>
      </c>
      <c r="R576" s="4" t="s">
        <v>2226</v>
      </c>
      <c r="S576" s="4" t="s">
        <v>2227</v>
      </c>
      <c r="T576" s="4" t="s">
        <v>2228</v>
      </c>
      <c r="U576" s="4" t="s">
        <v>2237</v>
      </c>
      <c r="V576" s="4" t="s">
        <v>8</v>
      </c>
      <c r="W576" s="4" t="s">
        <v>2238</v>
      </c>
      <c r="X576" s="4" t="s">
        <v>2224</v>
      </c>
      <c r="Y576" s="4" t="s">
        <v>2239</v>
      </c>
      <c r="Z576" s="6">
        <v>15883.16</v>
      </c>
      <c r="AA576" s="6">
        <v>190597.92</v>
      </c>
      <c r="AB576" s="4" t="s">
        <v>2224</v>
      </c>
      <c r="AC576" s="7" t="s">
        <v>2244</v>
      </c>
    </row>
    <row r="577" spans="1:29" ht="15" customHeight="1" collapsed="1" thickBot="1" x14ac:dyDescent="0.3">
      <c r="A577" s="20" t="str">
        <f>CONCATENATE("387"," - ","MR", " ","Scelo"," ", "Mathibela")</f>
        <v>387 - MR Scelo Mathibela</v>
      </c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2"/>
    </row>
    <row r="578" spans="1:29" ht="15" hidden="1" customHeight="1" outlineLevel="1" thickBot="1" x14ac:dyDescent="0.3">
      <c r="A578" s="4" t="s">
        <v>3148</v>
      </c>
      <c r="B578" s="4" t="s">
        <v>165</v>
      </c>
      <c r="C578" s="4" t="s">
        <v>2220</v>
      </c>
      <c r="D578" s="5">
        <v>42962.462500000001</v>
      </c>
      <c r="E578" s="4" t="s">
        <v>2221</v>
      </c>
      <c r="F578" s="4" t="s">
        <v>2222</v>
      </c>
      <c r="G578" s="4" t="s">
        <v>2014</v>
      </c>
      <c r="H578" s="4" t="s">
        <v>800</v>
      </c>
      <c r="I578" s="4" t="s">
        <v>1087</v>
      </c>
      <c r="J578" s="4" t="s">
        <v>1086</v>
      </c>
      <c r="K578" s="5">
        <v>31105</v>
      </c>
      <c r="L578" s="4" t="s">
        <v>3149</v>
      </c>
      <c r="M578" s="4" t="s">
        <v>9</v>
      </c>
      <c r="N578" s="5">
        <v>39387</v>
      </c>
      <c r="O578" s="5" t="s">
        <v>2224</v>
      </c>
      <c r="P578" s="4" t="s">
        <v>2224</v>
      </c>
      <c r="Q578" s="4" t="s">
        <v>3150</v>
      </c>
      <c r="R578" s="4" t="s">
        <v>2226</v>
      </c>
      <c r="S578" s="4" t="s">
        <v>2227</v>
      </c>
      <c r="T578" s="4" t="s">
        <v>2228</v>
      </c>
      <c r="U578" s="4" t="s">
        <v>2248</v>
      </c>
      <c r="V578" s="4" t="s">
        <v>25</v>
      </c>
      <c r="W578" s="4" t="s">
        <v>2278</v>
      </c>
      <c r="X578" s="4" t="s">
        <v>2224</v>
      </c>
      <c r="Y578" s="4" t="s">
        <v>2609</v>
      </c>
      <c r="Z578" s="6">
        <v>17112.251499999998</v>
      </c>
      <c r="AA578" s="6">
        <v>205347.02</v>
      </c>
      <c r="AB578" s="4" t="s">
        <v>2232</v>
      </c>
      <c r="AC578" s="7" t="s">
        <v>2224</v>
      </c>
    </row>
    <row r="579" spans="1:29" ht="15" customHeight="1" collapsed="1" thickBot="1" x14ac:dyDescent="0.3">
      <c r="A579" s="20" t="str">
        <f>CONCATENATE("388"," - ","MISS", " ","Tshiamiso"," ", "Matlhare")</f>
        <v>388 - MISS Tshiamiso Matlhare</v>
      </c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2"/>
    </row>
    <row r="580" spans="1:29" ht="15" hidden="1" customHeight="1" outlineLevel="1" thickBot="1" x14ac:dyDescent="0.3">
      <c r="A580" s="4" t="s">
        <v>3151</v>
      </c>
      <c r="B580" s="4" t="s">
        <v>590</v>
      </c>
      <c r="C580" s="4" t="s">
        <v>2220</v>
      </c>
      <c r="D580" s="5">
        <v>42962.549999999996</v>
      </c>
      <c r="E580" s="4" t="s">
        <v>2221</v>
      </c>
      <c r="F580" s="4" t="s">
        <v>2222</v>
      </c>
      <c r="G580" s="4" t="s">
        <v>2234</v>
      </c>
      <c r="H580" s="4" t="s">
        <v>819</v>
      </c>
      <c r="I580" s="4" t="s">
        <v>1895</v>
      </c>
      <c r="J580" s="4" t="s">
        <v>1894</v>
      </c>
      <c r="K580" s="5">
        <v>33109</v>
      </c>
      <c r="L580" s="4" t="s">
        <v>3152</v>
      </c>
      <c r="M580" s="4" t="s">
        <v>9</v>
      </c>
      <c r="N580" s="5">
        <v>42135</v>
      </c>
      <c r="O580" s="5" t="s">
        <v>2224</v>
      </c>
      <c r="P580" s="4" t="s">
        <v>2224</v>
      </c>
      <c r="Q580" s="4" t="s">
        <v>2552</v>
      </c>
      <c r="R580" s="4" t="s">
        <v>2226</v>
      </c>
      <c r="S580" s="4" t="s">
        <v>2227</v>
      </c>
      <c r="T580" s="4" t="s">
        <v>2228</v>
      </c>
      <c r="U580" s="4" t="s">
        <v>2237</v>
      </c>
      <c r="V580" s="4" t="s">
        <v>125</v>
      </c>
      <c r="W580" s="4" t="s">
        <v>2230</v>
      </c>
      <c r="X580" s="4" t="s">
        <v>2224</v>
      </c>
      <c r="Y580" s="4" t="s">
        <v>2239</v>
      </c>
      <c r="Z580" s="6">
        <v>20140.25</v>
      </c>
      <c r="AA580" s="6">
        <v>241683</v>
      </c>
      <c r="AB580" s="4" t="s">
        <v>2232</v>
      </c>
      <c r="AC580" s="7" t="s">
        <v>2224</v>
      </c>
    </row>
    <row r="581" spans="1:29" ht="15" customHeight="1" collapsed="1" thickBot="1" x14ac:dyDescent="0.3">
      <c r="A581" s="20" t="str">
        <f>CONCATENATE("39"," - ","MR", " ","XHANTI"," ", "Baai")</f>
        <v>39 - MR XHANTI Baai</v>
      </c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2"/>
    </row>
    <row r="582" spans="1:29" ht="15" hidden="1" customHeight="1" outlineLevel="1" thickBot="1" x14ac:dyDescent="0.3">
      <c r="A582" s="4" t="s">
        <v>3153</v>
      </c>
      <c r="B582" s="4" t="s">
        <v>146</v>
      </c>
      <c r="C582" s="4" t="s">
        <v>2220</v>
      </c>
      <c r="D582" s="5">
        <v>42962.462500000001</v>
      </c>
      <c r="E582" s="4" t="s">
        <v>2221</v>
      </c>
      <c r="F582" s="4" t="s">
        <v>2222</v>
      </c>
      <c r="G582" s="4" t="s">
        <v>2014</v>
      </c>
      <c r="H582" s="4" t="s">
        <v>1049</v>
      </c>
      <c r="I582" s="4" t="s">
        <v>1050</v>
      </c>
      <c r="J582" s="4" t="s">
        <v>1048</v>
      </c>
      <c r="K582" s="5">
        <v>32074</v>
      </c>
      <c r="L582" s="4" t="s">
        <v>3154</v>
      </c>
      <c r="M582" s="4" t="s">
        <v>9</v>
      </c>
      <c r="N582" s="5">
        <v>39387</v>
      </c>
      <c r="O582" s="5" t="s">
        <v>2224</v>
      </c>
      <c r="P582" s="4" t="s">
        <v>2224</v>
      </c>
      <c r="Q582" s="4" t="s">
        <v>3155</v>
      </c>
      <c r="R582" s="4" t="s">
        <v>2226</v>
      </c>
      <c r="S582" s="4" t="s">
        <v>2227</v>
      </c>
      <c r="T582" s="4" t="s">
        <v>2228</v>
      </c>
      <c r="U582" s="4" t="s">
        <v>2248</v>
      </c>
      <c r="V582" s="4" t="s">
        <v>147</v>
      </c>
      <c r="W582" s="4" t="s">
        <v>2249</v>
      </c>
      <c r="X582" s="4" t="s">
        <v>2224</v>
      </c>
      <c r="Y582" s="4" t="s">
        <v>3014</v>
      </c>
      <c r="Z582" s="6">
        <v>27841.759999999998</v>
      </c>
      <c r="AA582" s="6">
        <v>334101.12</v>
      </c>
      <c r="AB582" s="4" t="s">
        <v>2232</v>
      </c>
      <c r="AC582" s="7" t="s">
        <v>2224</v>
      </c>
    </row>
    <row r="583" spans="1:29" ht="15" customHeight="1" collapsed="1" thickBot="1" x14ac:dyDescent="0.3">
      <c r="A583" s="20" t="str">
        <f>CONCATENATE("390"," - ","MISS", " ","MAMOKETE"," ", "Matsunyane")</f>
        <v>390 - MISS MAMOKETE Matsunyane</v>
      </c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2"/>
    </row>
    <row r="584" spans="1:29" ht="15" hidden="1" customHeight="1" outlineLevel="1" thickBot="1" x14ac:dyDescent="0.3">
      <c r="A584" s="4" t="s">
        <v>3156</v>
      </c>
      <c r="B584" s="4" t="s">
        <v>194</v>
      </c>
      <c r="C584" s="4" t="s">
        <v>2220</v>
      </c>
      <c r="D584" s="5">
        <v>42962.461111111108</v>
      </c>
      <c r="E584" s="4" t="s">
        <v>2221</v>
      </c>
      <c r="F584" s="4" t="s">
        <v>2222</v>
      </c>
      <c r="G584" s="4" t="s">
        <v>2234</v>
      </c>
      <c r="H584" s="4" t="s">
        <v>788</v>
      </c>
      <c r="I584" s="4" t="s">
        <v>1142</v>
      </c>
      <c r="J584" s="4" t="s">
        <v>1141</v>
      </c>
      <c r="K584" s="5">
        <v>29925</v>
      </c>
      <c r="L584" s="4" t="s">
        <v>3157</v>
      </c>
      <c r="M584" s="4" t="s">
        <v>9</v>
      </c>
      <c r="N584" s="5">
        <v>39509</v>
      </c>
      <c r="O584" s="5" t="s">
        <v>2224</v>
      </c>
      <c r="P584" s="4" t="s">
        <v>2224</v>
      </c>
      <c r="Q584" s="4" t="s">
        <v>3158</v>
      </c>
      <c r="R584" s="4" t="s">
        <v>2226</v>
      </c>
      <c r="S584" s="4" t="s">
        <v>2227</v>
      </c>
      <c r="T584" s="4" t="s">
        <v>2228</v>
      </c>
      <c r="U584" s="4" t="s">
        <v>2229</v>
      </c>
      <c r="V584" s="4" t="s">
        <v>25</v>
      </c>
      <c r="W584" s="4" t="s">
        <v>2278</v>
      </c>
      <c r="X584" s="4" t="s">
        <v>2224</v>
      </c>
      <c r="Y584" s="4" t="s">
        <v>2394</v>
      </c>
      <c r="Z584" s="6">
        <v>8556.1299999999992</v>
      </c>
      <c r="AA584" s="6">
        <v>102673.56</v>
      </c>
      <c r="AB584" s="4" t="s">
        <v>2232</v>
      </c>
      <c r="AC584" s="7" t="s">
        <v>2224</v>
      </c>
    </row>
    <row r="585" spans="1:29" ht="15" customHeight="1" collapsed="1" thickBot="1" x14ac:dyDescent="0.3">
      <c r="A585" s="20" t="str">
        <f>CONCATENATE("391"," - ","MISS", " ","Heledene"," ", "Matthews")</f>
        <v>391 - MISS Heledene Matthews</v>
      </c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2"/>
    </row>
    <row r="586" spans="1:29" ht="15" hidden="1" customHeight="1" outlineLevel="1" thickBot="1" x14ac:dyDescent="0.3">
      <c r="A586" s="4" t="s">
        <v>3159</v>
      </c>
      <c r="B586" s="4" t="s">
        <v>493</v>
      </c>
      <c r="C586" s="4" t="s">
        <v>2220</v>
      </c>
      <c r="D586" s="5">
        <v>42962.461805555555</v>
      </c>
      <c r="E586" s="4" t="s">
        <v>2221</v>
      </c>
      <c r="F586" s="4" t="s">
        <v>2222</v>
      </c>
      <c r="G586" s="4" t="s">
        <v>2234</v>
      </c>
      <c r="H586" s="4" t="s">
        <v>1718</v>
      </c>
      <c r="I586" s="4" t="s">
        <v>1719</v>
      </c>
      <c r="J586" s="4" t="s">
        <v>1717</v>
      </c>
      <c r="K586" s="5">
        <v>33554</v>
      </c>
      <c r="L586" s="4" t="s">
        <v>3160</v>
      </c>
      <c r="M586" s="4" t="s">
        <v>9</v>
      </c>
      <c r="N586" s="5">
        <v>41944</v>
      </c>
      <c r="O586" s="5" t="s">
        <v>2224</v>
      </c>
      <c r="P586" s="4" t="s">
        <v>2224</v>
      </c>
      <c r="Q586" s="4" t="s">
        <v>3161</v>
      </c>
      <c r="R586" s="4" t="s">
        <v>2226</v>
      </c>
      <c r="S586" s="4" t="s">
        <v>2227</v>
      </c>
      <c r="T586" s="4" t="s">
        <v>2228</v>
      </c>
      <c r="U586" s="4" t="s">
        <v>2229</v>
      </c>
      <c r="V586" s="4" t="s">
        <v>25</v>
      </c>
      <c r="W586" s="4" t="s">
        <v>2278</v>
      </c>
      <c r="X586" s="4" t="s">
        <v>2224</v>
      </c>
      <c r="Y586" s="4" t="s">
        <v>2469</v>
      </c>
      <c r="Z586" s="6">
        <v>10844.03</v>
      </c>
      <c r="AA586" s="6">
        <v>130128.36</v>
      </c>
      <c r="AB586" s="4" t="s">
        <v>2232</v>
      </c>
      <c r="AC586" s="7" t="s">
        <v>2224</v>
      </c>
    </row>
    <row r="587" spans="1:29" ht="15" customHeight="1" collapsed="1" thickBot="1" x14ac:dyDescent="0.3">
      <c r="A587" s="20" t="str">
        <f>CONCATENATE("394"," - ","MR", " ","David"," ", "Mawson")</f>
        <v>394 - MR David Mawson</v>
      </c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2"/>
    </row>
    <row r="588" spans="1:29" ht="15" hidden="1" customHeight="1" outlineLevel="1" thickBot="1" x14ac:dyDescent="0.3">
      <c r="A588" s="4" t="s">
        <v>3162</v>
      </c>
      <c r="B588" s="4" t="s">
        <v>304</v>
      </c>
      <c r="C588" s="4" t="s">
        <v>2220</v>
      </c>
      <c r="D588" s="5">
        <v>42963.284722222219</v>
      </c>
      <c r="E588" s="4" t="s">
        <v>2221</v>
      </c>
      <c r="F588" s="4" t="s">
        <v>2222</v>
      </c>
      <c r="G588" s="4" t="s">
        <v>2014</v>
      </c>
      <c r="H588" s="4" t="s">
        <v>1187</v>
      </c>
      <c r="I588" s="4" t="s">
        <v>1249</v>
      </c>
      <c r="J588" s="4" t="s">
        <v>1351</v>
      </c>
      <c r="K588" s="5">
        <v>21287</v>
      </c>
      <c r="L588" s="4" t="s">
        <v>3163</v>
      </c>
      <c r="M588" s="4" t="s">
        <v>9</v>
      </c>
      <c r="N588" s="5">
        <v>41092</v>
      </c>
      <c r="O588" s="5" t="s">
        <v>2224</v>
      </c>
      <c r="P588" s="4" t="s">
        <v>2224</v>
      </c>
      <c r="Q588" s="4" t="s">
        <v>3164</v>
      </c>
      <c r="R588" s="4" t="s">
        <v>2226</v>
      </c>
      <c r="S588" s="4" t="s">
        <v>2227</v>
      </c>
      <c r="T588" s="4" t="s">
        <v>2228</v>
      </c>
      <c r="U588" s="4" t="s">
        <v>2258</v>
      </c>
      <c r="V588" s="4" t="s">
        <v>13</v>
      </c>
      <c r="W588" s="4" t="s">
        <v>2249</v>
      </c>
      <c r="X588" s="4" t="s">
        <v>2224</v>
      </c>
      <c r="Y588" s="4" t="s">
        <v>2259</v>
      </c>
      <c r="Z588" s="6">
        <v>116515.39</v>
      </c>
      <c r="AA588" s="6">
        <v>1398184.68</v>
      </c>
      <c r="AB588" s="4" t="s">
        <v>2232</v>
      </c>
      <c r="AC588" s="7" t="s">
        <v>2224</v>
      </c>
    </row>
    <row r="589" spans="1:29" ht="15" customHeight="1" collapsed="1" thickBot="1" x14ac:dyDescent="0.3">
      <c r="A589" s="20" t="str">
        <f>CONCATENATE("395"," - ","MISS", " ","Elmarie"," ", "May")</f>
        <v>395 - MISS Elmarie May</v>
      </c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2"/>
    </row>
    <row r="590" spans="1:29" ht="15" hidden="1" customHeight="1" outlineLevel="1" thickBot="1" x14ac:dyDescent="0.3">
      <c r="A590" s="4" t="s">
        <v>3165</v>
      </c>
      <c r="B590" s="4" t="s">
        <v>594</v>
      </c>
      <c r="C590" s="4" t="s">
        <v>2220</v>
      </c>
      <c r="D590" s="5">
        <v>42962.462500000001</v>
      </c>
      <c r="E590" s="4" t="s">
        <v>2221</v>
      </c>
      <c r="F590" s="4" t="s">
        <v>2222</v>
      </c>
      <c r="G590" s="4" t="s">
        <v>2234</v>
      </c>
      <c r="H590" s="4" t="s">
        <v>816</v>
      </c>
      <c r="I590" s="4" t="s">
        <v>1901</v>
      </c>
      <c r="J590" s="4" t="s">
        <v>1900</v>
      </c>
      <c r="K590" s="5">
        <v>32825</v>
      </c>
      <c r="L590" s="4" t="s">
        <v>3166</v>
      </c>
      <c r="M590" s="4" t="s">
        <v>9</v>
      </c>
      <c r="N590" s="5">
        <v>42156</v>
      </c>
      <c r="O590" s="5" t="s">
        <v>2224</v>
      </c>
      <c r="P590" s="4" t="s">
        <v>2224</v>
      </c>
      <c r="Q590" s="4" t="s">
        <v>3167</v>
      </c>
      <c r="R590" s="4" t="s">
        <v>2226</v>
      </c>
      <c r="S590" s="4" t="s">
        <v>2227</v>
      </c>
      <c r="T590" s="4" t="s">
        <v>2228</v>
      </c>
      <c r="U590" s="4" t="s">
        <v>2248</v>
      </c>
      <c r="V590" s="4" t="s">
        <v>595</v>
      </c>
      <c r="W590" s="4" t="s">
        <v>2249</v>
      </c>
      <c r="X590" s="4" t="s">
        <v>2224</v>
      </c>
      <c r="Y590" s="4" t="s">
        <v>3014</v>
      </c>
      <c r="Z590" s="6">
        <v>26681.759999999998</v>
      </c>
      <c r="AA590" s="6">
        <v>320181.12</v>
      </c>
      <c r="AB590" s="4" t="s">
        <v>2232</v>
      </c>
      <c r="AC590" s="7" t="s">
        <v>2224</v>
      </c>
    </row>
    <row r="591" spans="1:29" ht="15" customHeight="1" collapsed="1" thickBot="1" x14ac:dyDescent="0.3">
      <c r="A591" s="20" t="str">
        <f>CONCATENATE("396"," - ","MR", " ","Aadil"," ", "Mayet")</f>
        <v>396 - MR Aadil Mayet</v>
      </c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2"/>
    </row>
    <row r="592" spans="1:29" ht="15" hidden="1" customHeight="1" outlineLevel="1" thickBot="1" x14ac:dyDescent="0.3">
      <c r="A592" s="4" t="s">
        <v>3168</v>
      </c>
      <c r="B592" s="4" t="s">
        <v>456</v>
      </c>
      <c r="C592" s="4" t="s">
        <v>2220</v>
      </c>
      <c r="D592" s="5">
        <v>42963.287499999999</v>
      </c>
      <c r="E592" s="4" t="s">
        <v>2221</v>
      </c>
      <c r="F592" s="4" t="s">
        <v>2222</v>
      </c>
      <c r="G592" s="4" t="s">
        <v>2014</v>
      </c>
      <c r="H592" s="4" t="s">
        <v>742</v>
      </c>
      <c r="I592" s="4" t="s">
        <v>1648</v>
      </c>
      <c r="J592" s="4" t="s">
        <v>1647</v>
      </c>
      <c r="K592" s="5">
        <v>31310</v>
      </c>
      <c r="L592" s="4" t="s">
        <v>3169</v>
      </c>
      <c r="M592" s="4" t="s">
        <v>9</v>
      </c>
      <c r="N592" s="5">
        <v>41730</v>
      </c>
      <c r="O592" s="5" t="s">
        <v>2224</v>
      </c>
      <c r="P592" s="4" t="s">
        <v>2224</v>
      </c>
      <c r="Q592" s="4" t="s">
        <v>3170</v>
      </c>
      <c r="R592" s="4" t="s">
        <v>2226</v>
      </c>
      <c r="S592" s="4" t="s">
        <v>2227</v>
      </c>
      <c r="T592" s="4" t="s">
        <v>2228</v>
      </c>
      <c r="U592" s="4" t="s">
        <v>2258</v>
      </c>
      <c r="V592" s="4" t="s">
        <v>246</v>
      </c>
      <c r="W592" s="4" t="s">
        <v>2249</v>
      </c>
      <c r="X592" s="4" t="s">
        <v>2224</v>
      </c>
      <c r="Y592" s="4" t="s">
        <v>2259</v>
      </c>
      <c r="Z592" s="6">
        <v>70799.691600000006</v>
      </c>
      <c r="AA592" s="6">
        <v>849596.3</v>
      </c>
      <c r="AB592" s="4" t="s">
        <v>2232</v>
      </c>
      <c r="AC592" s="7" t="s">
        <v>2224</v>
      </c>
    </row>
    <row r="593" spans="1:29" ht="15" customHeight="1" collapsed="1" thickBot="1" x14ac:dyDescent="0.3">
      <c r="A593" s="20" t="str">
        <f>CONCATENATE("397"," - ","MR", " ","Ndumiso"," ", "Mazibuko")</f>
        <v>397 - MR Ndumiso Mazibuko</v>
      </c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2"/>
    </row>
    <row r="594" spans="1:29" ht="15" hidden="1" customHeight="1" outlineLevel="1" thickBot="1" x14ac:dyDescent="0.3">
      <c r="A594" s="4" t="s">
        <v>3171</v>
      </c>
      <c r="B594" s="4" t="s">
        <v>646</v>
      </c>
      <c r="C594" s="4" t="s">
        <v>2220</v>
      </c>
      <c r="D594" s="5">
        <v>42962.549999999996</v>
      </c>
      <c r="E594" s="4" t="s">
        <v>2221</v>
      </c>
      <c r="F594" s="4" t="s">
        <v>2222</v>
      </c>
      <c r="G594" s="4" t="s">
        <v>2014</v>
      </c>
      <c r="H594" s="4" t="s">
        <v>1712</v>
      </c>
      <c r="I594" s="4" t="s">
        <v>1905</v>
      </c>
      <c r="J594" s="4" t="s">
        <v>1976</v>
      </c>
      <c r="K594" s="5">
        <v>34700</v>
      </c>
      <c r="L594" s="4" t="s">
        <v>3172</v>
      </c>
      <c r="M594" s="4" t="s">
        <v>9</v>
      </c>
      <c r="N594" s="5">
        <v>42332</v>
      </c>
      <c r="O594" s="5" t="s">
        <v>2224</v>
      </c>
      <c r="P594" s="4" t="s">
        <v>2224</v>
      </c>
      <c r="Q594" s="4" t="s">
        <v>3173</v>
      </c>
      <c r="R594" s="4" t="s">
        <v>2226</v>
      </c>
      <c r="S594" s="4" t="s">
        <v>2227</v>
      </c>
      <c r="T594" s="4" t="s">
        <v>2228</v>
      </c>
      <c r="U594" s="4" t="s">
        <v>2237</v>
      </c>
      <c r="V594" s="4" t="s">
        <v>125</v>
      </c>
      <c r="W594" s="4" t="s">
        <v>2278</v>
      </c>
      <c r="X594" s="4" t="s">
        <v>2224</v>
      </c>
      <c r="Y594" s="4" t="s">
        <v>2239</v>
      </c>
      <c r="Z594" s="6">
        <v>16081.7</v>
      </c>
      <c r="AA594" s="6">
        <v>192980.4</v>
      </c>
      <c r="AB594" s="4" t="s">
        <v>2232</v>
      </c>
      <c r="AC594" s="7" t="s">
        <v>2224</v>
      </c>
    </row>
    <row r="595" spans="1:29" ht="15" customHeight="1" collapsed="1" thickBot="1" x14ac:dyDescent="0.3">
      <c r="A595" s="20" t="str">
        <f>CONCATENATE("399"," - ","MS", " ","Zintte"," ", "Mbewu")</f>
        <v>399 - MS Zintte Mbewu</v>
      </c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2"/>
    </row>
    <row r="596" spans="1:29" ht="15" hidden="1" customHeight="1" outlineLevel="1" thickBot="1" x14ac:dyDescent="0.3">
      <c r="A596" s="4" t="s">
        <v>3174</v>
      </c>
      <c r="B596" s="4" t="s">
        <v>680</v>
      </c>
      <c r="C596" s="4" t="s">
        <v>2220</v>
      </c>
      <c r="D596" s="5">
        <v>42962.549999999996</v>
      </c>
      <c r="E596" s="4" t="s">
        <v>2221</v>
      </c>
      <c r="F596" s="4" t="s">
        <v>2222</v>
      </c>
      <c r="G596" s="4" t="s">
        <v>813</v>
      </c>
      <c r="H596" s="4" t="s">
        <v>934</v>
      </c>
      <c r="I596" s="4" t="s">
        <v>2032</v>
      </c>
      <c r="J596" s="4" t="s">
        <v>2031</v>
      </c>
      <c r="K596" s="5">
        <v>33737</v>
      </c>
      <c r="L596" s="4" t="s">
        <v>3175</v>
      </c>
      <c r="M596" s="4" t="s">
        <v>9</v>
      </c>
      <c r="N596" s="5">
        <v>42493</v>
      </c>
      <c r="O596" s="5" t="s">
        <v>2224</v>
      </c>
      <c r="P596" s="4" t="s">
        <v>2224</v>
      </c>
      <c r="Q596" s="4" t="s">
        <v>3176</v>
      </c>
      <c r="R596" s="4" t="s">
        <v>2226</v>
      </c>
      <c r="S596" s="4" t="s">
        <v>2227</v>
      </c>
      <c r="T596" s="4" t="s">
        <v>2228</v>
      </c>
      <c r="U596" s="4" t="s">
        <v>2237</v>
      </c>
      <c r="V596" s="4" t="s">
        <v>8</v>
      </c>
      <c r="W596" s="4" t="s">
        <v>2278</v>
      </c>
      <c r="X596" s="4" t="s">
        <v>2224</v>
      </c>
      <c r="Y596" s="4" t="s">
        <v>2239</v>
      </c>
      <c r="Z596" s="6">
        <v>15883.16</v>
      </c>
      <c r="AA596" s="6">
        <v>190597.92</v>
      </c>
      <c r="AB596" s="4" t="s">
        <v>2224</v>
      </c>
      <c r="AC596" s="7" t="s">
        <v>2224</v>
      </c>
    </row>
    <row r="597" spans="1:29" ht="15" customHeight="1" collapsed="1" thickBot="1" x14ac:dyDescent="0.3">
      <c r="A597" s="20" t="str">
        <f>CONCATENATE("4"," - ","MR", " ","Calvin"," ", "Coetzer")</f>
        <v>4 - MR Calvin Coetzer</v>
      </c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2"/>
    </row>
    <row r="598" spans="1:29" ht="15" hidden="1" customHeight="1" outlineLevel="1" thickBot="1" x14ac:dyDescent="0.3">
      <c r="A598" s="4" t="s">
        <v>3177</v>
      </c>
      <c r="B598" s="4" t="s">
        <v>667</v>
      </c>
      <c r="C598" s="4" t="s">
        <v>2220</v>
      </c>
      <c r="D598" s="5">
        <v>42963.290277777778</v>
      </c>
      <c r="E598" s="4" t="s">
        <v>2221</v>
      </c>
      <c r="F598" s="4" t="s">
        <v>2222</v>
      </c>
      <c r="G598" s="4" t="s">
        <v>2014</v>
      </c>
      <c r="H598" s="4" t="s">
        <v>743</v>
      </c>
      <c r="I598" s="4" t="s">
        <v>2006</v>
      </c>
      <c r="J598" s="4" t="s">
        <v>1862</v>
      </c>
      <c r="K598" s="5">
        <v>31860</v>
      </c>
      <c r="L598" s="4" t="s">
        <v>3178</v>
      </c>
      <c r="M598" s="4" t="s">
        <v>9</v>
      </c>
      <c r="N598" s="5">
        <v>41092</v>
      </c>
      <c r="O598" s="5" t="s">
        <v>2224</v>
      </c>
      <c r="P598" s="4" t="s">
        <v>2224</v>
      </c>
      <c r="Q598" s="4" t="s">
        <v>3179</v>
      </c>
      <c r="R598" s="4" t="s">
        <v>2226</v>
      </c>
      <c r="S598" s="4" t="s">
        <v>2227</v>
      </c>
      <c r="T598" s="4" t="s">
        <v>2228</v>
      </c>
      <c r="U598" s="4" t="s">
        <v>2258</v>
      </c>
      <c r="V598" s="4" t="s">
        <v>13</v>
      </c>
      <c r="W598" s="4" t="s">
        <v>2249</v>
      </c>
      <c r="X598" s="4" t="s">
        <v>2224</v>
      </c>
      <c r="Y598" s="4" t="s">
        <v>2259</v>
      </c>
      <c r="Z598" s="6">
        <v>105531.5736</v>
      </c>
      <c r="AA598" s="6">
        <v>1266378.8799999999</v>
      </c>
      <c r="AB598" s="4" t="s">
        <v>2232</v>
      </c>
      <c r="AC598" s="7" t="s">
        <v>2224</v>
      </c>
    </row>
    <row r="599" spans="1:29" ht="15" customHeight="1" collapsed="1" thickBot="1" x14ac:dyDescent="0.3">
      <c r="A599" s="20" t="str">
        <f>CONCATENATE("401"," - ","MISS", " ","Gugu"," ", "Mchunu")</f>
        <v>401 - MISS Gugu Mchunu</v>
      </c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2"/>
    </row>
    <row r="600" spans="1:29" ht="15" hidden="1" customHeight="1" outlineLevel="1" thickBot="1" x14ac:dyDescent="0.3">
      <c r="A600" s="4" t="s">
        <v>3180</v>
      </c>
      <c r="B600" s="4" t="s">
        <v>570</v>
      </c>
      <c r="C600" s="4" t="s">
        <v>2220</v>
      </c>
      <c r="D600" s="5">
        <v>42962.461805555555</v>
      </c>
      <c r="E600" s="4" t="s">
        <v>2221</v>
      </c>
      <c r="F600" s="4" t="s">
        <v>2222</v>
      </c>
      <c r="G600" s="4" t="s">
        <v>2234</v>
      </c>
      <c r="H600" s="4" t="s">
        <v>1860</v>
      </c>
      <c r="I600" s="4" t="s">
        <v>1861</v>
      </c>
      <c r="J600" s="4" t="s">
        <v>1859</v>
      </c>
      <c r="K600" s="5">
        <v>31657</v>
      </c>
      <c r="L600" s="4" t="s">
        <v>3181</v>
      </c>
      <c r="M600" s="4" t="s">
        <v>9</v>
      </c>
      <c r="N600" s="5">
        <v>42128</v>
      </c>
      <c r="O600" s="5" t="s">
        <v>2224</v>
      </c>
      <c r="P600" s="4" t="s">
        <v>2224</v>
      </c>
      <c r="Q600" s="4" t="s">
        <v>3182</v>
      </c>
      <c r="R600" s="4" t="s">
        <v>2226</v>
      </c>
      <c r="S600" s="4" t="s">
        <v>2227</v>
      </c>
      <c r="T600" s="4" t="s">
        <v>2228</v>
      </c>
      <c r="U600" s="4" t="s">
        <v>2229</v>
      </c>
      <c r="V600" s="4" t="s">
        <v>25</v>
      </c>
      <c r="W600" s="4" t="s">
        <v>2278</v>
      </c>
      <c r="X600" s="4" t="s">
        <v>2224</v>
      </c>
      <c r="Y600" s="4" t="s">
        <v>2384</v>
      </c>
      <c r="Z600" s="6">
        <v>10844.03</v>
      </c>
      <c r="AA600" s="6">
        <v>130128.36</v>
      </c>
      <c r="AB600" s="4" t="s">
        <v>2232</v>
      </c>
      <c r="AC600" s="7" t="s">
        <v>2224</v>
      </c>
    </row>
    <row r="601" spans="1:29" ht="15" customHeight="1" collapsed="1" thickBot="1" x14ac:dyDescent="0.3">
      <c r="A601" s="20" t="str">
        <f>CONCATENATE("402"," - ","MR", " ","Gareth"," ", "McLaren")</f>
        <v>402 - MR Gareth McLaren</v>
      </c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2"/>
    </row>
    <row r="602" spans="1:29" ht="15" hidden="1" customHeight="1" outlineLevel="1" thickBot="1" x14ac:dyDescent="0.3">
      <c r="A602" s="4" t="s">
        <v>3183</v>
      </c>
      <c r="B602" s="4" t="s">
        <v>301</v>
      </c>
      <c r="C602" s="4" t="s">
        <v>2220</v>
      </c>
      <c r="D602" s="5">
        <v>42963.284722222219</v>
      </c>
      <c r="E602" s="4" t="s">
        <v>2221</v>
      </c>
      <c r="F602" s="4" t="s">
        <v>2222</v>
      </c>
      <c r="G602" s="4" t="s">
        <v>2014</v>
      </c>
      <c r="H602" s="4" t="s">
        <v>1162</v>
      </c>
      <c r="I602" s="4" t="s">
        <v>1347</v>
      </c>
      <c r="J602" s="4" t="s">
        <v>1346</v>
      </c>
      <c r="K602" s="5">
        <v>28909</v>
      </c>
      <c r="L602" s="4" t="s">
        <v>3184</v>
      </c>
      <c r="M602" s="4" t="s">
        <v>9</v>
      </c>
      <c r="N602" s="5">
        <v>41064</v>
      </c>
      <c r="O602" s="5" t="s">
        <v>2224</v>
      </c>
      <c r="P602" s="4" t="s">
        <v>2224</v>
      </c>
      <c r="Q602" s="4" t="s">
        <v>3185</v>
      </c>
      <c r="R602" s="4" t="s">
        <v>2226</v>
      </c>
      <c r="S602" s="4" t="s">
        <v>2227</v>
      </c>
      <c r="T602" s="4" t="s">
        <v>2228</v>
      </c>
      <c r="U602" s="4" t="s">
        <v>2258</v>
      </c>
      <c r="V602" s="4" t="s">
        <v>13</v>
      </c>
      <c r="W602" s="4" t="s">
        <v>2249</v>
      </c>
      <c r="X602" s="4" t="s">
        <v>2224</v>
      </c>
      <c r="Y602" s="4" t="s">
        <v>2259</v>
      </c>
      <c r="Z602" s="6">
        <v>111990.9564</v>
      </c>
      <c r="AA602" s="6">
        <v>1343891.48</v>
      </c>
      <c r="AB602" s="4" t="s">
        <v>2232</v>
      </c>
      <c r="AC602" s="7" t="s">
        <v>2224</v>
      </c>
    </row>
    <row r="603" spans="1:29" ht="15" customHeight="1" collapsed="1" thickBot="1" x14ac:dyDescent="0.3">
      <c r="A603" s="20" t="str">
        <f>CONCATENATE("403"," - ","MISS", " ","Chantel"," ", "Mclean")</f>
        <v>403 - MISS Chantel Mclean</v>
      </c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2"/>
    </row>
    <row r="604" spans="1:29" ht="15" hidden="1" customHeight="1" outlineLevel="1" thickBot="1" x14ac:dyDescent="0.3">
      <c r="A604" s="4" t="s">
        <v>3186</v>
      </c>
      <c r="B604" s="4" t="s">
        <v>36</v>
      </c>
      <c r="C604" s="4" t="s">
        <v>2220</v>
      </c>
      <c r="D604" s="5">
        <v>42962.462500000001</v>
      </c>
      <c r="E604" s="4" t="s">
        <v>2221</v>
      </c>
      <c r="F604" s="4" t="s">
        <v>2222</v>
      </c>
      <c r="G604" s="4" t="s">
        <v>2234</v>
      </c>
      <c r="H604" s="4" t="s">
        <v>743</v>
      </c>
      <c r="I604" s="4" t="s">
        <v>835</v>
      </c>
      <c r="J604" s="4" t="s">
        <v>834</v>
      </c>
      <c r="K604" s="5">
        <v>31769</v>
      </c>
      <c r="L604" s="4" t="s">
        <v>3187</v>
      </c>
      <c r="M604" s="4" t="s">
        <v>9</v>
      </c>
      <c r="N604" s="5">
        <v>38985</v>
      </c>
      <c r="O604" s="5" t="s">
        <v>2224</v>
      </c>
      <c r="P604" s="4" t="s">
        <v>2224</v>
      </c>
      <c r="Q604" s="4" t="s">
        <v>3188</v>
      </c>
      <c r="R604" s="4" t="s">
        <v>2226</v>
      </c>
      <c r="S604" s="4" t="s">
        <v>2227</v>
      </c>
      <c r="T604" s="4" t="s">
        <v>2228</v>
      </c>
      <c r="U604" s="4" t="s">
        <v>2248</v>
      </c>
      <c r="V604" s="4" t="s">
        <v>25</v>
      </c>
      <c r="W604" s="4" t="s">
        <v>2278</v>
      </c>
      <c r="X604" s="4" t="s">
        <v>2224</v>
      </c>
      <c r="Y604" s="4" t="s">
        <v>2609</v>
      </c>
      <c r="Z604" s="6">
        <v>17112.259999999998</v>
      </c>
      <c r="AA604" s="6">
        <v>205347.12</v>
      </c>
      <c r="AB604" s="4" t="s">
        <v>2232</v>
      </c>
      <c r="AC604" s="7" t="s">
        <v>2224</v>
      </c>
    </row>
    <row r="605" spans="1:29" ht="15" customHeight="1" collapsed="1" thickBot="1" x14ac:dyDescent="0.3">
      <c r="A605" s="20" t="str">
        <f>CONCATENATE("404"," - ","MISS", " ","Pamela"," ", "Menze")</f>
        <v>404 - MISS Pamela Menze</v>
      </c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2"/>
    </row>
    <row r="606" spans="1:29" ht="15" hidden="1" customHeight="1" outlineLevel="1" thickBot="1" x14ac:dyDescent="0.3">
      <c r="A606" s="4" t="s">
        <v>3189</v>
      </c>
      <c r="B606" s="4" t="s">
        <v>432</v>
      </c>
      <c r="C606" s="4" t="s">
        <v>2220</v>
      </c>
      <c r="D606" s="5">
        <v>42962.549999999996</v>
      </c>
      <c r="E606" s="4" t="s">
        <v>2221</v>
      </c>
      <c r="F606" s="4" t="s">
        <v>2222</v>
      </c>
      <c r="G606" s="4" t="s">
        <v>2234</v>
      </c>
      <c r="H606" s="4" t="s">
        <v>781</v>
      </c>
      <c r="I606" s="4" t="s">
        <v>1593</v>
      </c>
      <c r="J606" s="4" t="s">
        <v>1592</v>
      </c>
      <c r="K606" s="5">
        <v>33564</v>
      </c>
      <c r="L606" s="4" t="s">
        <v>3190</v>
      </c>
      <c r="M606" s="4" t="s">
        <v>9</v>
      </c>
      <c r="N606" s="5">
        <v>41582</v>
      </c>
      <c r="O606" s="5" t="s">
        <v>2224</v>
      </c>
      <c r="P606" s="4" t="s">
        <v>2224</v>
      </c>
      <c r="Q606" s="4" t="s">
        <v>3191</v>
      </c>
      <c r="R606" s="4" t="s">
        <v>2226</v>
      </c>
      <c r="S606" s="4" t="s">
        <v>2227</v>
      </c>
      <c r="T606" s="4" t="s">
        <v>2228</v>
      </c>
      <c r="U606" s="4" t="s">
        <v>2237</v>
      </c>
      <c r="V606" s="4" t="s">
        <v>8</v>
      </c>
      <c r="W606" s="4" t="s">
        <v>2278</v>
      </c>
      <c r="X606" s="4" t="s">
        <v>2224</v>
      </c>
      <c r="Y606" s="4" t="s">
        <v>2239</v>
      </c>
      <c r="Z606" s="6">
        <v>16486.259999999998</v>
      </c>
      <c r="AA606" s="6">
        <v>197835.12</v>
      </c>
      <c r="AB606" s="4" t="s">
        <v>2232</v>
      </c>
      <c r="AC606" s="7" t="s">
        <v>2224</v>
      </c>
    </row>
    <row r="607" spans="1:29" ht="15" customHeight="1" collapsed="1" thickBot="1" x14ac:dyDescent="0.3">
      <c r="A607" s="20" t="str">
        <f>CONCATENATE("405"," - ","MRS", " ","Celeste"," ", "Merriman")</f>
        <v>405 - MRS Celeste Merriman</v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2"/>
    </row>
    <row r="608" spans="1:29" ht="15" hidden="1" customHeight="1" outlineLevel="1" thickBot="1" x14ac:dyDescent="0.3">
      <c r="A608" s="4" t="s">
        <v>3192</v>
      </c>
      <c r="B608" s="4" t="s">
        <v>558</v>
      </c>
      <c r="C608" s="4" t="s">
        <v>2220</v>
      </c>
      <c r="D608" s="5">
        <v>42963.297916666663</v>
      </c>
      <c r="E608" s="4" t="s">
        <v>2221</v>
      </c>
      <c r="F608" s="4" t="s">
        <v>2222</v>
      </c>
      <c r="G608" s="4" t="s">
        <v>2280</v>
      </c>
      <c r="H608" s="4" t="s">
        <v>743</v>
      </c>
      <c r="I608" s="4" t="s">
        <v>1836</v>
      </c>
      <c r="J608" s="4" t="s">
        <v>1835</v>
      </c>
      <c r="K608" s="5">
        <v>25264</v>
      </c>
      <c r="L608" s="4" t="s">
        <v>3193</v>
      </c>
      <c r="M608" s="4" t="s">
        <v>9</v>
      </c>
      <c r="N608" s="5">
        <v>42095</v>
      </c>
      <c r="O608" s="5" t="s">
        <v>2224</v>
      </c>
      <c r="P608" s="4" t="s">
        <v>2224</v>
      </c>
      <c r="Q608" s="4" t="s">
        <v>3194</v>
      </c>
      <c r="R608" s="4" t="s">
        <v>2226</v>
      </c>
      <c r="S608" s="4" t="s">
        <v>2227</v>
      </c>
      <c r="T608" s="4" t="s">
        <v>2228</v>
      </c>
      <c r="U608" s="4" t="s">
        <v>2248</v>
      </c>
      <c r="V608" s="4" t="s">
        <v>559</v>
      </c>
      <c r="W608" s="4" t="s">
        <v>2249</v>
      </c>
      <c r="X608" s="4" t="s">
        <v>2224</v>
      </c>
      <c r="Y608" s="4" t="s">
        <v>2971</v>
      </c>
      <c r="Z608" s="6">
        <v>46693.08</v>
      </c>
      <c r="AA608" s="6">
        <v>560316.96</v>
      </c>
      <c r="AB608" s="4" t="s">
        <v>2232</v>
      </c>
      <c r="AC608" s="7" t="s">
        <v>2224</v>
      </c>
    </row>
    <row r="609" spans="1:29" ht="15" customHeight="1" collapsed="1" thickBot="1" x14ac:dyDescent="0.3">
      <c r="A609" s="20" t="str">
        <f>CONCATENATE("406"," - ","MISS", " ","Yolande"," ", "Meyer")</f>
        <v>406 - MISS Yolande Meyer</v>
      </c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2"/>
    </row>
    <row r="610" spans="1:29" ht="15" hidden="1" customHeight="1" outlineLevel="1" thickBot="1" x14ac:dyDescent="0.3">
      <c r="A610" s="4" t="s">
        <v>3195</v>
      </c>
      <c r="B610" s="4" t="s">
        <v>576</v>
      </c>
      <c r="C610" s="4" t="s">
        <v>2220</v>
      </c>
      <c r="D610" s="5">
        <v>42962.461111111108</v>
      </c>
      <c r="E610" s="4" t="s">
        <v>2221</v>
      </c>
      <c r="F610" s="4" t="s">
        <v>2222</v>
      </c>
      <c r="G610" s="4" t="s">
        <v>2234</v>
      </c>
      <c r="H610" s="4" t="s">
        <v>794</v>
      </c>
      <c r="I610" s="4" t="s">
        <v>1279</v>
      </c>
      <c r="J610" s="4" t="s">
        <v>1872</v>
      </c>
      <c r="K610" s="5">
        <v>26177</v>
      </c>
      <c r="L610" s="4" t="s">
        <v>3196</v>
      </c>
      <c r="M610" s="4" t="s">
        <v>9</v>
      </c>
      <c r="N610" s="5">
        <v>42135</v>
      </c>
      <c r="O610" s="5" t="s">
        <v>2224</v>
      </c>
      <c r="P610" s="4" t="s">
        <v>2224</v>
      </c>
      <c r="Q610" s="4" t="s">
        <v>3197</v>
      </c>
      <c r="R610" s="4" t="s">
        <v>2226</v>
      </c>
      <c r="S610" s="4" t="s">
        <v>2227</v>
      </c>
      <c r="T610" s="4" t="s">
        <v>2228</v>
      </c>
      <c r="U610" s="4" t="s">
        <v>2229</v>
      </c>
      <c r="V610" s="4" t="s">
        <v>25</v>
      </c>
      <c r="W610" s="4" t="s">
        <v>2278</v>
      </c>
      <c r="X610" s="4" t="s">
        <v>2224</v>
      </c>
      <c r="Y610" s="4" t="s">
        <v>2380</v>
      </c>
      <c r="Z610" s="6">
        <v>10710.1538</v>
      </c>
      <c r="AA610" s="6">
        <v>128521.85</v>
      </c>
      <c r="AB610" s="4" t="s">
        <v>2232</v>
      </c>
      <c r="AC610" s="7" t="s">
        <v>2224</v>
      </c>
    </row>
    <row r="611" spans="1:29" ht="15" customHeight="1" collapsed="1" thickBot="1" x14ac:dyDescent="0.3">
      <c r="A611" s="20" t="str">
        <f>CONCATENATE("407"," - ","MISS", " ","Mashiya"," ", "Mgojo")</f>
        <v>407 - MISS Mashiya Mgojo</v>
      </c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2"/>
    </row>
    <row r="612" spans="1:29" ht="15" hidden="1" customHeight="1" outlineLevel="1" thickBot="1" x14ac:dyDescent="0.3">
      <c r="A612" s="4" t="s">
        <v>3198</v>
      </c>
      <c r="B612" s="4" t="s">
        <v>111</v>
      </c>
      <c r="C612" s="4" t="s">
        <v>2220</v>
      </c>
      <c r="D612" s="5">
        <v>42962.461805555555</v>
      </c>
      <c r="E612" s="4" t="s">
        <v>2221</v>
      </c>
      <c r="F612" s="4" t="s">
        <v>2222</v>
      </c>
      <c r="G612" s="4" t="s">
        <v>2234</v>
      </c>
      <c r="H612" s="4" t="s">
        <v>788</v>
      </c>
      <c r="I612" s="4" t="s">
        <v>986</v>
      </c>
      <c r="J612" s="4" t="s">
        <v>985</v>
      </c>
      <c r="K612" s="5">
        <v>29335</v>
      </c>
      <c r="L612" s="4" t="s">
        <v>3199</v>
      </c>
      <c r="M612" s="4" t="s">
        <v>9</v>
      </c>
      <c r="N612" s="5">
        <v>39027</v>
      </c>
      <c r="O612" s="5" t="s">
        <v>2224</v>
      </c>
      <c r="P612" s="4" t="s">
        <v>2224</v>
      </c>
      <c r="Q612" s="4" t="s">
        <v>3200</v>
      </c>
      <c r="R612" s="4" t="s">
        <v>2226</v>
      </c>
      <c r="S612" s="4" t="s">
        <v>2227</v>
      </c>
      <c r="T612" s="4" t="s">
        <v>2228</v>
      </c>
      <c r="U612" s="4" t="s">
        <v>2229</v>
      </c>
      <c r="V612" s="4" t="s">
        <v>25</v>
      </c>
      <c r="W612" s="4" t="s">
        <v>2278</v>
      </c>
      <c r="X612" s="4" t="s">
        <v>2224</v>
      </c>
      <c r="Y612" s="4" t="s">
        <v>2231</v>
      </c>
      <c r="Z612" s="6">
        <v>17112.251499999998</v>
      </c>
      <c r="AA612" s="6">
        <v>205347.02</v>
      </c>
      <c r="AB612" s="4" t="s">
        <v>2232</v>
      </c>
      <c r="AC612" s="7" t="s">
        <v>2224</v>
      </c>
    </row>
    <row r="613" spans="1:29" ht="15" customHeight="1" collapsed="1" thickBot="1" x14ac:dyDescent="0.3">
      <c r="A613" s="20" t="str">
        <f>CONCATENATE("408"," - ","MR", " ","Malixole"," ", "Mguga")</f>
        <v>408 - MR Malixole Mguga</v>
      </c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2"/>
    </row>
    <row r="614" spans="1:29" ht="15" hidden="1" customHeight="1" outlineLevel="1" thickBot="1" x14ac:dyDescent="0.3">
      <c r="A614" s="4" t="s">
        <v>3201</v>
      </c>
      <c r="B614" s="4" t="s">
        <v>91</v>
      </c>
      <c r="C614" s="4" t="s">
        <v>2220</v>
      </c>
      <c r="D614" s="5">
        <v>42962.461111111108</v>
      </c>
      <c r="E614" s="4" t="s">
        <v>2221</v>
      </c>
      <c r="F614" s="4" t="s">
        <v>2222</v>
      </c>
      <c r="G614" s="4" t="s">
        <v>2014</v>
      </c>
      <c r="H614" s="4" t="s">
        <v>788</v>
      </c>
      <c r="I614" s="4" t="s">
        <v>944</v>
      </c>
      <c r="J614" s="4" t="s">
        <v>943</v>
      </c>
      <c r="K614" s="5">
        <v>27651</v>
      </c>
      <c r="L614" s="4" t="s">
        <v>3202</v>
      </c>
      <c r="M614" s="4" t="s">
        <v>9</v>
      </c>
      <c r="N614" s="5">
        <v>39020</v>
      </c>
      <c r="O614" s="5" t="s">
        <v>2224</v>
      </c>
      <c r="P614" s="4" t="s">
        <v>2224</v>
      </c>
      <c r="Q614" s="4" t="s">
        <v>3203</v>
      </c>
      <c r="R614" s="4" t="s">
        <v>2226</v>
      </c>
      <c r="S614" s="4" t="s">
        <v>2227</v>
      </c>
      <c r="T614" s="4" t="s">
        <v>2228</v>
      </c>
      <c r="U614" s="4" t="s">
        <v>2229</v>
      </c>
      <c r="V614" s="4" t="s">
        <v>25</v>
      </c>
      <c r="W614" s="4" t="s">
        <v>2278</v>
      </c>
      <c r="X614" s="4" t="s">
        <v>2224</v>
      </c>
      <c r="Y614" s="4" t="s">
        <v>2380</v>
      </c>
      <c r="Z614" s="6">
        <v>17112.2621</v>
      </c>
      <c r="AA614" s="6">
        <v>205347.15</v>
      </c>
      <c r="AB614" s="4" t="s">
        <v>2232</v>
      </c>
      <c r="AC614" s="7" t="s">
        <v>2224</v>
      </c>
    </row>
    <row r="615" spans="1:29" ht="15" customHeight="1" collapsed="1" thickBot="1" x14ac:dyDescent="0.3">
      <c r="A615" s="20" t="str">
        <f>CONCATENATE("409"," - ","MISS", " ","Thembakazi"," ", "Mhlakaza")</f>
        <v>409 - MISS Thembakazi Mhlakaza</v>
      </c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2"/>
    </row>
    <row r="616" spans="1:29" ht="15" hidden="1" customHeight="1" outlineLevel="1" thickBot="1" x14ac:dyDescent="0.3">
      <c r="A616" s="4" t="s">
        <v>3204</v>
      </c>
      <c r="B616" s="4" t="s">
        <v>92</v>
      </c>
      <c r="C616" s="4" t="s">
        <v>2220</v>
      </c>
      <c r="D616" s="5">
        <v>42962.461111111108</v>
      </c>
      <c r="E616" s="4" t="s">
        <v>2221</v>
      </c>
      <c r="F616" s="4" t="s">
        <v>2222</v>
      </c>
      <c r="G616" s="4" t="s">
        <v>2234</v>
      </c>
      <c r="H616" s="4" t="s">
        <v>819</v>
      </c>
      <c r="I616" s="4" t="s">
        <v>946</v>
      </c>
      <c r="J616" s="4" t="s">
        <v>945</v>
      </c>
      <c r="K616" s="5">
        <v>30203</v>
      </c>
      <c r="L616" s="4" t="s">
        <v>3205</v>
      </c>
      <c r="M616" s="4" t="s">
        <v>9</v>
      </c>
      <c r="N616" s="5">
        <v>39020</v>
      </c>
      <c r="O616" s="5" t="s">
        <v>2224</v>
      </c>
      <c r="P616" s="4" t="s">
        <v>2224</v>
      </c>
      <c r="Q616" s="4" t="s">
        <v>3206</v>
      </c>
      <c r="R616" s="4" t="s">
        <v>2226</v>
      </c>
      <c r="S616" s="4" t="s">
        <v>2227</v>
      </c>
      <c r="T616" s="4" t="s">
        <v>2228</v>
      </c>
      <c r="U616" s="4" t="s">
        <v>2229</v>
      </c>
      <c r="V616" s="4" t="s">
        <v>25</v>
      </c>
      <c r="W616" s="4" t="s">
        <v>2278</v>
      </c>
      <c r="X616" s="4" t="s">
        <v>2224</v>
      </c>
      <c r="Y616" s="4" t="s">
        <v>2380</v>
      </c>
      <c r="Z616" s="6">
        <v>17112.2621</v>
      </c>
      <c r="AA616" s="6">
        <v>205347.15</v>
      </c>
      <c r="AB616" s="4" t="s">
        <v>2232</v>
      </c>
      <c r="AC616" s="7" t="s">
        <v>2224</v>
      </c>
    </row>
    <row r="617" spans="1:29" ht="15" customHeight="1" collapsed="1" thickBot="1" x14ac:dyDescent="0.3">
      <c r="A617" s="20" t="str">
        <f>CONCATENATE("41"," - ","MISS", " ","Asanda"," ", "Balintaba")</f>
        <v>41 - MISS Asanda Balintaba</v>
      </c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2"/>
    </row>
    <row r="618" spans="1:29" ht="15" hidden="1" customHeight="1" outlineLevel="1" thickBot="1" x14ac:dyDescent="0.3">
      <c r="A618" s="4" t="s">
        <v>3207</v>
      </c>
      <c r="B618" s="4" t="s">
        <v>223</v>
      </c>
      <c r="C618" s="4" t="s">
        <v>2220</v>
      </c>
      <c r="D618" s="5">
        <v>42962.461111111108</v>
      </c>
      <c r="E618" s="4" t="s">
        <v>2221</v>
      </c>
      <c r="F618" s="4" t="s">
        <v>2222</v>
      </c>
      <c r="G618" s="4" t="s">
        <v>2234</v>
      </c>
      <c r="H618" s="4" t="s">
        <v>1012</v>
      </c>
      <c r="I618" s="4" t="s">
        <v>1206</v>
      </c>
      <c r="J618" s="4" t="s">
        <v>1205</v>
      </c>
      <c r="K618" s="5">
        <v>31531</v>
      </c>
      <c r="L618" s="4" t="s">
        <v>3208</v>
      </c>
      <c r="M618" s="4" t="s">
        <v>9</v>
      </c>
      <c r="N618" s="5">
        <v>40269</v>
      </c>
      <c r="O618" s="5" t="s">
        <v>2224</v>
      </c>
      <c r="P618" s="4" t="s">
        <v>2224</v>
      </c>
      <c r="Q618" s="4" t="s">
        <v>3209</v>
      </c>
      <c r="R618" s="4" t="s">
        <v>2226</v>
      </c>
      <c r="S618" s="4" t="s">
        <v>2227</v>
      </c>
      <c r="T618" s="4" t="s">
        <v>2228</v>
      </c>
      <c r="U618" s="4" t="s">
        <v>2229</v>
      </c>
      <c r="V618" s="4" t="s">
        <v>17</v>
      </c>
      <c r="W618" s="4" t="s">
        <v>2230</v>
      </c>
      <c r="X618" s="4" t="s">
        <v>2224</v>
      </c>
      <c r="Y618" s="4" t="s">
        <v>2631</v>
      </c>
      <c r="Z618" s="6">
        <v>21430.874299999999</v>
      </c>
      <c r="AA618" s="6">
        <v>257170.49</v>
      </c>
      <c r="AB618" s="4" t="s">
        <v>2232</v>
      </c>
      <c r="AC618" s="7" t="s">
        <v>2224</v>
      </c>
    </row>
    <row r="619" spans="1:29" ht="15" customHeight="1" collapsed="1" thickBot="1" x14ac:dyDescent="0.3">
      <c r="A619" s="20" t="str">
        <f>CONCATENATE("410"," - ","MR", " ","Teddy"," ", "Mhlambi")</f>
        <v>410 - MR Teddy Mhlambi</v>
      </c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2"/>
    </row>
    <row r="620" spans="1:29" ht="15" hidden="1" customHeight="1" outlineLevel="1" thickBot="1" x14ac:dyDescent="0.3">
      <c r="A620" s="4" t="s">
        <v>3210</v>
      </c>
      <c r="B620" s="4" t="s">
        <v>45</v>
      </c>
      <c r="C620" s="4" t="s">
        <v>2220</v>
      </c>
      <c r="D620" s="5">
        <v>42962.462500000001</v>
      </c>
      <c r="E620" s="4" t="s">
        <v>2221</v>
      </c>
      <c r="F620" s="4" t="s">
        <v>2222</v>
      </c>
      <c r="G620" s="4" t="s">
        <v>2014</v>
      </c>
      <c r="H620" s="4" t="s">
        <v>854</v>
      </c>
      <c r="I620" s="4" t="s">
        <v>855</v>
      </c>
      <c r="J620" s="4" t="s">
        <v>853</v>
      </c>
      <c r="K620" s="5">
        <v>31088</v>
      </c>
      <c r="L620" s="4" t="s">
        <v>3211</v>
      </c>
      <c r="M620" s="4" t="s">
        <v>9</v>
      </c>
      <c r="N620" s="5">
        <v>38987</v>
      </c>
      <c r="O620" s="5" t="s">
        <v>2224</v>
      </c>
      <c r="P620" s="4" t="s">
        <v>2224</v>
      </c>
      <c r="Q620" s="4" t="s">
        <v>3212</v>
      </c>
      <c r="R620" s="4" t="s">
        <v>2226</v>
      </c>
      <c r="S620" s="4" t="s">
        <v>2227</v>
      </c>
      <c r="T620" s="4" t="s">
        <v>2228</v>
      </c>
      <c r="U620" s="4" t="s">
        <v>2248</v>
      </c>
      <c r="V620" s="4" t="s">
        <v>46</v>
      </c>
      <c r="W620" s="4" t="s">
        <v>2249</v>
      </c>
      <c r="X620" s="4" t="s">
        <v>2224</v>
      </c>
      <c r="Y620" s="4" t="s">
        <v>3014</v>
      </c>
      <c r="Z620" s="6">
        <v>27841.759999999998</v>
      </c>
      <c r="AA620" s="6">
        <v>334101.12</v>
      </c>
      <c r="AB620" s="4" t="s">
        <v>2232</v>
      </c>
      <c r="AC620" s="7" t="s">
        <v>2224</v>
      </c>
    </row>
    <row r="621" spans="1:29" ht="15" customHeight="1" collapsed="1" thickBot="1" x14ac:dyDescent="0.3">
      <c r="A621" s="20" t="str">
        <f>CONCATENATE("411"," - ","MR", " ","Nkosingiphile"," ", "Mhlongo")</f>
        <v>411 - MR Nkosingiphile Mhlongo</v>
      </c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2"/>
    </row>
    <row r="622" spans="1:29" ht="15" hidden="1" customHeight="1" outlineLevel="1" thickBot="1" x14ac:dyDescent="0.3">
      <c r="A622" s="4" t="s">
        <v>3213</v>
      </c>
      <c r="B622" s="4" t="s">
        <v>504</v>
      </c>
      <c r="C622" s="4" t="s">
        <v>2220</v>
      </c>
      <c r="D622" s="5">
        <v>42962.462500000001</v>
      </c>
      <c r="E622" s="4" t="s">
        <v>2221</v>
      </c>
      <c r="F622" s="4" t="s">
        <v>2222</v>
      </c>
      <c r="G622" s="4" t="s">
        <v>2014</v>
      </c>
      <c r="H622" s="4" t="s">
        <v>1742</v>
      </c>
      <c r="I622" s="4" t="s">
        <v>1743</v>
      </c>
      <c r="J622" s="4" t="s">
        <v>1741</v>
      </c>
      <c r="K622" s="5">
        <v>23302</v>
      </c>
      <c r="L622" s="4" t="s">
        <v>3214</v>
      </c>
      <c r="M622" s="4" t="s">
        <v>9</v>
      </c>
      <c r="N622" s="5">
        <v>42005</v>
      </c>
      <c r="O622" s="5" t="s">
        <v>2224</v>
      </c>
      <c r="P622" s="4" t="s">
        <v>2224</v>
      </c>
      <c r="Q622" s="4" t="s">
        <v>3215</v>
      </c>
      <c r="R622" s="4" t="s">
        <v>2226</v>
      </c>
      <c r="S622" s="4" t="s">
        <v>2227</v>
      </c>
      <c r="T622" s="4" t="s">
        <v>2228</v>
      </c>
      <c r="U622" s="4" t="s">
        <v>2248</v>
      </c>
      <c r="V622" s="4" t="s">
        <v>505</v>
      </c>
      <c r="W622" s="4" t="s">
        <v>2297</v>
      </c>
      <c r="X622" s="4" t="s">
        <v>2224</v>
      </c>
      <c r="Y622" s="4" t="s">
        <v>3216</v>
      </c>
      <c r="Z622" s="6">
        <v>71151.360000000001</v>
      </c>
      <c r="AA622" s="6">
        <v>853816.31999999995</v>
      </c>
      <c r="AB622" s="4" t="s">
        <v>2232</v>
      </c>
      <c r="AC622" s="7" t="s">
        <v>2224</v>
      </c>
    </row>
    <row r="623" spans="1:29" ht="15" customHeight="1" collapsed="1" thickBot="1" x14ac:dyDescent="0.3">
      <c r="A623" s="20" t="str">
        <f>CONCATENATE("412"," - ","MR", " ","Lindikhaya"," ", "Mini")</f>
        <v>412 - MR Lindikhaya Mini</v>
      </c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2"/>
    </row>
    <row r="624" spans="1:29" ht="15" hidden="1" customHeight="1" outlineLevel="1" thickBot="1" x14ac:dyDescent="0.3">
      <c r="A624" s="4" t="s">
        <v>3217</v>
      </c>
      <c r="B624" s="4" t="s">
        <v>525</v>
      </c>
      <c r="C624" s="4" t="s">
        <v>2220</v>
      </c>
      <c r="D624" s="5">
        <v>42962.461805555555</v>
      </c>
      <c r="E624" s="4" t="s">
        <v>2221</v>
      </c>
      <c r="F624" s="4" t="s">
        <v>2222</v>
      </c>
      <c r="G624" s="4" t="s">
        <v>2014</v>
      </c>
      <c r="H624" s="4" t="s">
        <v>1419</v>
      </c>
      <c r="I624" s="4" t="s">
        <v>1780</v>
      </c>
      <c r="J624" s="4" t="s">
        <v>1779</v>
      </c>
      <c r="K624" s="5">
        <v>28930</v>
      </c>
      <c r="L624" s="4" t="s">
        <v>3218</v>
      </c>
      <c r="M624" s="4" t="s">
        <v>9</v>
      </c>
      <c r="N624" s="5">
        <v>42072</v>
      </c>
      <c r="O624" s="5" t="s">
        <v>2224</v>
      </c>
      <c r="P624" s="4" t="s">
        <v>2224</v>
      </c>
      <c r="Q624" s="4" t="s">
        <v>3219</v>
      </c>
      <c r="R624" s="4" t="s">
        <v>2226</v>
      </c>
      <c r="S624" s="4" t="s">
        <v>2227</v>
      </c>
      <c r="T624" s="4" t="s">
        <v>2228</v>
      </c>
      <c r="U624" s="4" t="s">
        <v>2229</v>
      </c>
      <c r="V624" s="4" t="s">
        <v>25</v>
      </c>
      <c r="W624" s="4" t="s">
        <v>2278</v>
      </c>
      <c r="X624" s="4" t="s">
        <v>2224</v>
      </c>
      <c r="Y624" s="4" t="s">
        <v>2511</v>
      </c>
      <c r="Z624" s="6">
        <v>10710.1538</v>
      </c>
      <c r="AA624" s="6">
        <v>128521.85</v>
      </c>
      <c r="AB624" s="4" t="s">
        <v>2232</v>
      </c>
      <c r="AC624" s="7" t="s">
        <v>2224</v>
      </c>
    </row>
    <row r="625" spans="1:29" ht="15" customHeight="1" collapsed="1" thickBot="1" x14ac:dyDescent="0.3">
      <c r="A625" s="20" t="str">
        <f>CONCATENATE("413"," - ","MISS", " ","Gainore"," ", "Mintoor")</f>
        <v>413 - MISS Gainore Mintoor</v>
      </c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2"/>
    </row>
    <row r="626" spans="1:29" ht="15" hidden="1" customHeight="1" outlineLevel="1" thickBot="1" x14ac:dyDescent="0.3">
      <c r="A626" s="4" t="s">
        <v>3220</v>
      </c>
      <c r="B626" s="4" t="s">
        <v>575</v>
      </c>
      <c r="C626" s="4" t="s">
        <v>2220</v>
      </c>
      <c r="D626" s="5">
        <v>42962.461111111108</v>
      </c>
      <c r="E626" s="4" t="s">
        <v>2221</v>
      </c>
      <c r="F626" s="4" t="s">
        <v>2222</v>
      </c>
      <c r="G626" s="4" t="s">
        <v>2234</v>
      </c>
      <c r="H626" s="4" t="s">
        <v>805</v>
      </c>
      <c r="I626" s="4" t="s">
        <v>1871</v>
      </c>
      <c r="J626" s="4" t="s">
        <v>1870</v>
      </c>
      <c r="K626" s="5">
        <v>34278</v>
      </c>
      <c r="L626" s="4" t="s">
        <v>3221</v>
      </c>
      <c r="M626" s="4" t="s">
        <v>9</v>
      </c>
      <c r="N626" s="5">
        <v>42135</v>
      </c>
      <c r="O626" s="5" t="s">
        <v>2224</v>
      </c>
      <c r="P626" s="4" t="s">
        <v>2224</v>
      </c>
      <c r="Q626" s="4" t="s">
        <v>3222</v>
      </c>
      <c r="R626" s="4" t="s">
        <v>2226</v>
      </c>
      <c r="S626" s="4" t="s">
        <v>2227</v>
      </c>
      <c r="T626" s="4" t="s">
        <v>2228</v>
      </c>
      <c r="U626" s="4" t="s">
        <v>2229</v>
      </c>
      <c r="V626" s="4" t="s">
        <v>25</v>
      </c>
      <c r="W626" s="4" t="s">
        <v>2278</v>
      </c>
      <c r="X626" s="4" t="s">
        <v>2224</v>
      </c>
      <c r="Y626" s="4" t="s">
        <v>2380</v>
      </c>
      <c r="Z626" s="6">
        <v>10710.1538</v>
      </c>
      <c r="AA626" s="6">
        <v>128521.85</v>
      </c>
      <c r="AB626" s="4" t="s">
        <v>2232</v>
      </c>
      <c r="AC626" s="7" t="s">
        <v>2224</v>
      </c>
    </row>
    <row r="627" spans="1:29" ht="15" customHeight="1" collapsed="1" thickBot="1" x14ac:dyDescent="0.3">
      <c r="A627" s="20" t="str">
        <f>CONCATENATE("415"," - ","MISS", " ","Aarthi"," ", "Missra")</f>
        <v>415 - MISS Aarthi Missra</v>
      </c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2"/>
    </row>
    <row r="628" spans="1:29" ht="15" hidden="1" customHeight="1" outlineLevel="1" thickBot="1" x14ac:dyDescent="0.3">
      <c r="A628" s="4" t="s">
        <v>3223</v>
      </c>
      <c r="B628" s="4" t="s">
        <v>424</v>
      </c>
      <c r="C628" s="4" t="s">
        <v>2220</v>
      </c>
      <c r="D628" s="5">
        <v>42962.549999999996</v>
      </c>
      <c r="E628" s="4" t="s">
        <v>2221</v>
      </c>
      <c r="F628" s="4" t="s">
        <v>2222</v>
      </c>
      <c r="G628" s="4" t="s">
        <v>2234</v>
      </c>
      <c r="H628" s="4" t="s">
        <v>742</v>
      </c>
      <c r="I628" s="4" t="s">
        <v>1577</v>
      </c>
      <c r="J628" s="4" t="s">
        <v>1576</v>
      </c>
      <c r="K628" s="5">
        <v>34079</v>
      </c>
      <c r="L628" s="4" t="s">
        <v>3224</v>
      </c>
      <c r="M628" s="4" t="s">
        <v>9</v>
      </c>
      <c r="N628" s="5">
        <v>41556</v>
      </c>
      <c r="O628" s="5" t="s">
        <v>2224</v>
      </c>
      <c r="P628" s="4" t="s">
        <v>2224</v>
      </c>
      <c r="Q628" s="4" t="s">
        <v>3225</v>
      </c>
      <c r="R628" s="4" t="s">
        <v>2226</v>
      </c>
      <c r="S628" s="4" t="s">
        <v>2227</v>
      </c>
      <c r="T628" s="4" t="s">
        <v>2228</v>
      </c>
      <c r="U628" s="4" t="s">
        <v>2237</v>
      </c>
      <c r="V628" s="4" t="s">
        <v>125</v>
      </c>
      <c r="W628" s="4" t="s">
        <v>2278</v>
      </c>
      <c r="X628" s="4" t="s">
        <v>2224</v>
      </c>
      <c r="Y628" s="4" t="s">
        <v>2239</v>
      </c>
      <c r="Z628" s="6">
        <v>20140.25</v>
      </c>
      <c r="AA628" s="6">
        <v>241683</v>
      </c>
      <c r="AB628" s="4" t="s">
        <v>2232</v>
      </c>
      <c r="AC628" s="7" t="s">
        <v>2224</v>
      </c>
    </row>
    <row r="629" spans="1:29" ht="15" customHeight="1" collapsed="1" thickBot="1" x14ac:dyDescent="0.3">
      <c r="A629" s="20" t="str">
        <f>CONCATENATE("416"," - ","MISS", " ","Zoliswa"," ", "Mketo")</f>
        <v>416 - MISS Zoliswa Mketo</v>
      </c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2"/>
    </row>
    <row r="630" spans="1:29" ht="15" hidden="1" customHeight="1" outlineLevel="1" thickBot="1" x14ac:dyDescent="0.3">
      <c r="A630" s="4" t="s">
        <v>3226</v>
      </c>
      <c r="B630" s="4" t="s">
        <v>328</v>
      </c>
      <c r="C630" s="4" t="s">
        <v>2220</v>
      </c>
      <c r="D630" s="5">
        <v>42962.461805555555</v>
      </c>
      <c r="E630" s="4" t="s">
        <v>2221</v>
      </c>
      <c r="F630" s="4" t="s">
        <v>2222</v>
      </c>
      <c r="G630" s="4" t="s">
        <v>2234</v>
      </c>
      <c r="H630" s="4" t="s">
        <v>934</v>
      </c>
      <c r="I630" s="4" t="s">
        <v>1398</v>
      </c>
      <c r="J630" s="4" t="s">
        <v>1397</v>
      </c>
      <c r="K630" s="5">
        <v>33058</v>
      </c>
      <c r="L630" s="4" t="s">
        <v>3227</v>
      </c>
      <c r="M630" s="4" t="s">
        <v>9</v>
      </c>
      <c r="N630" s="5">
        <v>41239</v>
      </c>
      <c r="O630" s="5" t="s">
        <v>2224</v>
      </c>
      <c r="P630" s="4" t="s">
        <v>2224</v>
      </c>
      <c r="Q630" s="4" t="s">
        <v>3228</v>
      </c>
      <c r="R630" s="4" t="s">
        <v>2226</v>
      </c>
      <c r="S630" s="4" t="s">
        <v>2227</v>
      </c>
      <c r="T630" s="4" t="s">
        <v>2228</v>
      </c>
      <c r="U630" s="4" t="s">
        <v>2229</v>
      </c>
      <c r="V630" s="4" t="s">
        <v>25</v>
      </c>
      <c r="W630" s="4" t="s">
        <v>2278</v>
      </c>
      <c r="X630" s="4" t="s">
        <v>2224</v>
      </c>
      <c r="Y630" s="4" t="s">
        <v>2469</v>
      </c>
      <c r="Z630" s="6">
        <v>16900.990000000002</v>
      </c>
      <c r="AA630" s="6">
        <v>202811.88</v>
      </c>
      <c r="AB630" s="4" t="s">
        <v>2232</v>
      </c>
      <c r="AC630" s="7" t="s">
        <v>2224</v>
      </c>
    </row>
    <row r="631" spans="1:29" ht="15" customHeight="1" collapsed="1" thickBot="1" x14ac:dyDescent="0.3">
      <c r="A631" s="20" t="str">
        <f>CONCATENATE("417"," - ","MR", " ","Siyanda"," ", "Mketsu")</f>
        <v>417 - MR Siyanda Mketsu</v>
      </c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2"/>
    </row>
    <row r="632" spans="1:29" ht="15" hidden="1" customHeight="1" outlineLevel="1" thickBot="1" x14ac:dyDescent="0.3">
      <c r="A632" s="4" t="s">
        <v>3229</v>
      </c>
      <c r="B632" s="4" t="s">
        <v>582</v>
      </c>
      <c r="C632" s="4" t="s">
        <v>2220</v>
      </c>
      <c r="D632" s="5">
        <v>42962.461111111108</v>
      </c>
      <c r="E632" s="4" t="s">
        <v>2221</v>
      </c>
      <c r="F632" s="4" t="s">
        <v>2222</v>
      </c>
      <c r="G632" s="4" t="s">
        <v>2014</v>
      </c>
      <c r="H632" s="4" t="s">
        <v>800</v>
      </c>
      <c r="I632" s="4" t="s">
        <v>1882</v>
      </c>
      <c r="J632" s="4" t="s">
        <v>1881</v>
      </c>
      <c r="K632" s="5">
        <v>32865</v>
      </c>
      <c r="L632" s="4" t="s">
        <v>3230</v>
      </c>
      <c r="M632" s="4" t="s">
        <v>9</v>
      </c>
      <c r="N632" s="5">
        <v>42135</v>
      </c>
      <c r="O632" s="5" t="s">
        <v>2224</v>
      </c>
      <c r="P632" s="4" t="s">
        <v>2224</v>
      </c>
      <c r="Q632" s="4" t="s">
        <v>3231</v>
      </c>
      <c r="R632" s="4" t="s">
        <v>2226</v>
      </c>
      <c r="S632" s="4" t="s">
        <v>2227</v>
      </c>
      <c r="T632" s="4" t="s">
        <v>2228</v>
      </c>
      <c r="U632" s="4" t="s">
        <v>2229</v>
      </c>
      <c r="V632" s="4" t="s">
        <v>25</v>
      </c>
      <c r="W632" s="4" t="s">
        <v>2278</v>
      </c>
      <c r="X632" s="4" t="s">
        <v>2224</v>
      </c>
      <c r="Y632" s="4" t="s">
        <v>2380</v>
      </c>
      <c r="Z632" s="6">
        <v>10710.1538</v>
      </c>
      <c r="AA632" s="6">
        <v>128521.85</v>
      </c>
      <c r="AB632" s="4" t="s">
        <v>2232</v>
      </c>
      <c r="AC632" s="7" t="s">
        <v>2224</v>
      </c>
    </row>
    <row r="633" spans="1:29" ht="15" customHeight="1" collapsed="1" thickBot="1" x14ac:dyDescent="0.3">
      <c r="A633" s="20" t="str">
        <f>CONCATENATE("418"," - ","MISS", " ","Nokuthula"," ", "Mkhangeli")</f>
        <v>418 - MISS Nokuthula Mkhangeli</v>
      </c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2"/>
    </row>
    <row r="634" spans="1:29" ht="15" hidden="1" customHeight="1" outlineLevel="1" thickBot="1" x14ac:dyDescent="0.3">
      <c r="A634" s="4" t="s">
        <v>3232</v>
      </c>
      <c r="B634" s="4" t="s">
        <v>18</v>
      </c>
      <c r="C634" s="4" t="s">
        <v>2220</v>
      </c>
      <c r="D634" s="5">
        <v>42962.462500000001</v>
      </c>
      <c r="E634" s="4" t="s">
        <v>2221</v>
      </c>
      <c r="F634" s="4" t="s">
        <v>2222</v>
      </c>
      <c r="G634" s="4" t="s">
        <v>2234</v>
      </c>
      <c r="H634" s="4" t="s">
        <v>797</v>
      </c>
      <c r="I634" s="4" t="s">
        <v>798</v>
      </c>
      <c r="J634" s="4" t="s">
        <v>796</v>
      </c>
      <c r="K634" s="5">
        <v>30218</v>
      </c>
      <c r="L634" s="4" t="s">
        <v>3233</v>
      </c>
      <c r="M634" s="4" t="s">
        <v>9</v>
      </c>
      <c r="N634" s="5">
        <v>38971</v>
      </c>
      <c r="O634" s="5" t="s">
        <v>2224</v>
      </c>
      <c r="P634" s="4" t="s">
        <v>2224</v>
      </c>
      <c r="Q634" s="4" t="s">
        <v>3234</v>
      </c>
      <c r="R634" s="4" t="s">
        <v>2226</v>
      </c>
      <c r="S634" s="4" t="s">
        <v>2227</v>
      </c>
      <c r="T634" s="4" t="s">
        <v>2228</v>
      </c>
      <c r="U634" s="4" t="s">
        <v>2248</v>
      </c>
      <c r="V634" s="4" t="s">
        <v>19</v>
      </c>
      <c r="W634" s="4" t="s">
        <v>3145</v>
      </c>
      <c r="X634" s="4" t="s">
        <v>2224</v>
      </c>
      <c r="Y634" s="4" t="s">
        <v>3216</v>
      </c>
      <c r="Z634" s="6">
        <v>23568.887999999999</v>
      </c>
      <c r="AA634" s="6">
        <v>282826.65999999997</v>
      </c>
      <c r="AB634" s="4" t="s">
        <v>2232</v>
      </c>
      <c r="AC634" s="7" t="s">
        <v>2224</v>
      </c>
    </row>
    <row r="635" spans="1:29" ht="15" customHeight="1" collapsed="1" thickBot="1" x14ac:dyDescent="0.3">
      <c r="A635" s="20" t="str">
        <f>CONCATENATE("42"," - ","MR", " ","Asheel"," ", "Balram")</f>
        <v>42 - MR Asheel Balram</v>
      </c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2"/>
    </row>
    <row r="636" spans="1:29" ht="15" hidden="1" customHeight="1" outlineLevel="1" thickBot="1" x14ac:dyDescent="0.3">
      <c r="A636" s="4" t="s">
        <v>3235</v>
      </c>
      <c r="B636" s="4" t="s">
        <v>692</v>
      </c>
      <c r="C636" s="4" t="s">
        <v>2220</v>
      </c>
      <c r="D636" s="5">
        <v>42962.549999999996</v>
      </c>
      <c r="E636" s="4" t="s">
        <v>2221</v>
      </c>
      <c r="F636" s="4" t="s">
        <v>2222</v>
      </c>
      <c r="G636" s="4" t="s">
        <v>2014</v>
      </c>
      <c r="H636" s="4" t="s">
        <v>742</v>
      </c>
      <c r="I636" s="4" t="s">
        <v>2053</v>
      </c>
      <c r="J636" s="4" t="s">
        <v>2052</v>
      </c>
      <c r="K636" s="5">
        <v>35085</v>
      </c>
      <c r="L636" s="4" t="s">
        <v>3236</v>
      </c>
      <c r="M636" s="4" t="s">
        <v>9</v>
      </c>
      <c r="N636" s="5">
        <v>42494</v>
      </c>
      <c r="O636" s="5" t="s">
        <v>2224</v>
      </c>
      <c r="P636" s="4" t="s">
        <v>2224</v>
      </c>
      <c r="Q636" s="4" t="s">
        <v>3237</v>
      </c>
      <c r="R636" s="4" t="s">
        <v>2226</v>
      </c>
      <c r="S636" s="4" t="s">
        <v>2227</v>
      </c>
      <c r="T636" s="4" t="s">
        <v>2228</v>
      </c>
      <c r="U636" s="4" t="s">
        <v>2237</v>
      </c>
      <c r="V636" s="4" t="s">
        <v>125</v>
      </c>
      <c r="W636" s="4" t="s">
        <v>2278</v>
      </c>
      <c r="X636" s="4" t="s">
        <v>2224</v>
      </c>
      <c r="Y636" s="4" t="s">
        <v>2239</v>
      </c>
      <c r="Z636" s="6">
        <v>16081.7</v>
      </c>
      <c r="AA636" s="6">
        <v>192980.4</v>
      </c>
      <c r="AB636" s="4" t="s">
        <v>2232</v>
      </c>
      <c r="AC636" s="7" t="s">
        <v>2224</v>
      </c>
    </row>
    <row r="637" spans="1:29" ht="15" customHeight="1" collapsed="1" thickBot="1" x14ac:dyDescent="0.3">
      <c r="A637" s="20" t="str">
        <f>CONCATENATE("420"," - ","MISS", " ","Nosipho"," ", "Mkhize")</f>
        <v>420 - MISS Nosipho Mkhize</v>
      </c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2"/>
    </row>
    <row r="638" spans="1:29" ht="15" hidden="1" customHeight="1" outlineLevel="1" thickBot="1" x14ac:dyDescent="0.3">
      <c r="A638" s="4" t="s">
        <v>3238</v>
      </c>
      <c r="B638" s="4" t="s">
        <v>518</v>
      </c>
      <c r="C638" s="4" t="s">
        <v>2220</v>
      </c>
      <c r="D638" s="5">
        <v>42962.461805555555</v>
      </c>
      <c r="E638" s="4" t="s">
        <v>2221</v>
      </c>
      <c r="F638" s="4" t="s">
        <v>2222</v>
      </c>
      <c r="G638" s="4" t="s">
        <v>2234</v>
      </c>
      <c r="H638" s="4" t="s">
        <v>1766</v>
      </c>
      <c r="I638" s="4" t="s">
        <v>1767</v>
      </c>
      <c r="J638" s="4" t="s">
        <v>1023</v>
      </c>
      <c r="K638" s="5">
        <v>30696</v>
      </c>
      <c r="L638" s="4" t="s">
        <v>3239</v>
      </c>
      <c r="M638" s="4" t="s">
        <v>9</v>
      </c>
      <c r="N638" s="5">
        <v>42072</v>
      </c>
      <c r="O638" s="5" t="s">
        <v>2224</v>
      </c>
      <c r="P638" s="4" t="s">
        <v>2224</v>
      </c>
      <c r="Q638" s="4" t="s">
        <v>3240</v>
      </c>
      <c r="R638" s="4" t="s">
        <v>2226</v>
      </c>
      <c r="S638" s="4" t="s">
        <v>2227</v>
      </c>
      <c r="T638" s="4" t="s">
        <v>2228</v>
      </c>
      <c r="U638" s="4" t="s">
        <v>2229</v>
      </c>
      <c r="V638" s="4" t="s">
        <v>25</v>
      </c>
      <c r="W638" s="4" t="s">
        <v>2278</v>
      </c>
      <c r="X638" s="4" t="s">
        <v>2224</v>
      </c>
      <c r="Y638" s="4" t="s">
        <v>2511</v>
      </c>
      <c r="Z638" s="6">
        <v>10710.1538</v>
      </c>
      <c r="AA638" s="6">
        <v>128521.85</v>
      </c>
      <c r="AB638" s="4" t="s">
        <v>2232</v>
      </c>
      <c r="AC638" s="7" t="s">
        <v>2224</v>
      </c>
    </row>
    <row r="639" spans="1:29" ht="15" customHeight="1" collapsed="1" thickBot="1" x14ac:dyDescent="0.3">
      <c r="A639" s="20" t="str">
        <f>CONCATENATE("421"," - ","MISS", " ","Samkelisiwe"," ", "Mkhize")</f>
        <v>421 - MISS Samkelisiwe Mkhize</v>
      </c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2"/>
    </row>
    <row r="640" spans="1:29" ht="15" hidden="1" customHeight="1" outlineLevel="1" thickBot="1" x14ac:dyDescent="0.3">
      <c r="A640" s="4" t="s">
        <v>3241</v>
      </c>
      <c r="B640" s="4" t="s">
        <v>135</v>
      </c>
      <c r="C640" s="4" t="s">
        <v>2220</v>
      </c>
      <c r="D640" s="5">
        <v>42957.416666666664</v>
      </c>
      <c r="E640" s="4" t="s">
        <v>2221</v>
      </c>
      <c r="F640" s="4" t="s">
        <v>2222</v>
      </c>
      <c r="G640" s="4" t="s">
        <v>2234</v>
      </c>
      <c r="H640" s="4" t="s">
        <v>1024</v>
      </c>
      <c r="I640" s="4" t="s">
        <v>1025</v>
      </c>
      <c r="J640" s="4" t="s">
        <v>1023</v>
      </c>
      <c r="K640" s="5">
        <v>31172</v>
      </c>
      <c r="L640" s="4" t="s">
        <v>3242</v>
      </c>
      <c r="M640" s="4" t="s">
        <v>9</v>
      </c>
      <c r="N640" s="5">
        <v>39125</v>
      </c>
      <c r="O640" s="5">
        <v>42978</v>
      </c>
      <c r="P640" s="4" t="s">
        <v>2441</v>
      </c>
      <c r="Q640" s="4" t="s">
        <v>3243</v>
      </c>
      <c r="R640" s="4" t="s">
        <v>2226</v>
      </c>
      <c r="S640" s="4" t="s">
        <v>2227</v>
      </c>
      <c r="T640" s="4" t="s">
        <v>2228</v>
      </c>
      <c r="U640" s="4" t="s">
        <v>2229</v>
      </c>
      <c r="V640" s="4" t="s">
        <v>17</v>
      </c>
      <c r="W640" s="4" t="s">
        <v>2230</v>
      </c>
      <c r="X640" s="4" t="s">
        <v>2224</v>
      </c>
      <c r="Y640" s="4" t="s">
        <v>2224</v>
      </c>
      <c r="Z640" s="6">
        <v>21430.880000000001</v>
      </c>
      <c r="AA640" s="6">
        <v>257170.56</v>
      </c>
      <c r="AB640" s="4" t="s">
        <v>2232</v>
      </c>
      <c r="AC640" s="7" t="s">
        <v>2224</v>
      </c>
    </row>
    <row r="641" spans="1:29" ht="15" customHeight="1" collapsed="1" thickBot="1" x14ac:dyDescent="0.3">
      <c r="A641" s="20" t="str">
        <f>CONCATENATE("422"," - ","MISS", " ","Nolwazi"," ", "Mkwane")</f>
        <v>422 - MISS Nolwazi Mkwane</v>
      </c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2"/>
    </row>
    <row r="642" spans="1:29" ht="15" hidden="1" customHeight="1" outlineLevel="1" thickBot="1" x14ac:dyDescent="0.3">
      <c r="A642" s="4" t="s">
        <v>3244</v>
      </c>
      <c r="B642" s="4" t="s">
        <v>449</v>
      </c>
      <c r="C642" s="4" t="s">
        <v>2220</v>
      </c>
      <c r="D642" s="5">
        <v>42962.549999999996</v>
      </c>
      <c r="E642" s="4" t="s">
        <v>2221</v>
      </c>
      <c r="F642" s="4" t="s">
        <v>2222</v>
      </c>
      <c r="G642" s="4" t="s">
        <v>2234</v>
      </c>
      <c r="H642" s="4" t="s">
        <v>1632</v>
      </c>
      <c r="I642" s="4" t="s">
        <v>1633</v>
      </c>
      <c r="J642" s="4" t="s">
        <v>1631</v>
      </c>
      <c r="K642" s="5">
        <v>34024</v>
      </c>
      <c r="L642" s="4" t="s">
        <v>3245</v>
      </c>
      <c r="M642" s="4" t="s">
        <v>9</v>
      </c>
      <c r="N642" s="5">
        <v>41687</v>
      </c>
      <c r="O642" s="5" t="s">
        <v>2224</v>
      </c>
      <c r="P642" s="4" t="s">
        <v>2224</v>
      </c>
      <c r="Q642" s="4" t="s">
        <v>3246</v>
      </c>
      <c r="R642" s="4" t="s">
        <v>2226</v>
      </c>
      <c r="S642" s="4" t="s">
        <v>2227</v>
      </c>
      <c r="T642" s="4" t="s">
        <v>2228</v>
      </c>
      <c r="U642" s="4" t="s">
        <v>2237</v>
      </c>
      <c r="V642" s="4" t="s">
        <v>125</v>
      </c>
      <c r="W642" s="4" t="s">
        <v>2230</v>
      </c>
      <c r="X642" s="4" t="s">
        <v>2224</v>
      </c>
      <c r="Y642" s="4" t="s">
        <v>2239</v>
      </c>
      <c r="Z642" s="6">
        <v>20140.25</v>
      </c>
      <c r="AA642" s="6">
        <v>241683</v>
      </c>
      <c r="AB642" s="4" t="s">
        <v>2232</v>
      </c>
      <c r="AC642" s="7" t="s">
        <v>2224</v>
      </c>
    </row>
    <row r="643" spans="1:29" ht="15" customHeight="1" collapsed="1" thickBot="1" x14ac:dyDescent="0.3">
      <c r="A643" s="20" t="str">
        <f>CONCATENATE("423"," - ","MISS", " ","Thulisile"," ", "Mlambo")</f>
        <v>423 - MISS Thulisile Mlambo</v>
      </c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2"/>
    </row>
    <row r="644" spans="1:29" ht="15" hidden="1" customHeight="1" outlineLevel="1" thickBot="1" x14ac:dyDescent="0.3">
      <c r="A644" s="4" t="s">
        <v>3247</v>
      </c>
      <c r="B644" s="4" t="s">
        <v>501</v>
      </c>
      <c r="C644" s="4" t="s">
        <v>2220</v>
      </c>
      <c r="D644" s="5">
        <v>42962.549999999996</v>
      </c>
      <c r="E644" s="4" t="s">
        <v>2221</v>
      </c>
      <c r="F644" s="4" t="s">
        <v>2222</v>
      </c>
      <c r="G644" s="4" t="s">
        <v>2234</v>
      </c>
      <c r="H644" s="4" t="s">
        <v>1430</v>
      </c>
      <c r="I644" s="4" t="s">
        <v>1735</v>
      </c>
      <c r="J644" s="4" t="s">
        <v>1734</v>
      </c>
      <c r="K644" s="5">
        <v>33506</v>
      </c>
      <c r="L644" s="4" t="s">
        <v>3248</v>
      </c>
      <c r="M644" s="4" t="s">
        <v>9</v>
      </c>
      <c r="N644" s="5">
        <v>41963</v>
      </c>
      <c r="O644" s="5" t="s">
        <v>2224</v>
      </c>
      <c r="P644" s="4" t="s">
        <v>2224</v>
      </c>
      <c r="Q644" s="4" t="s">
        <v>3249</v>
      </c>
      <c r="R644" s="4" t="s">
        <v>2226</v>
      </c>
      <c r="S644" s="4" t="s">
        <v>2227</v>
      </c>
      <c r="T644" s="4" t="s">
        <v>2228</v>
      </c>
      <c r="U644" s="4" t="s">
        <v>2237</v>
      </c>
      <c r="V644" s="4" t="s">
        <v>8</v>
      </c>
      <c r="W644" s="4" t="s">
        <v>2278</v>
      </c>
      <c r="X644" s="4" t="s">
        <v>2224</v>
      </c>
      <c r="Y644" s="4" t="s">
        <v>2239</v>
      </c>
      <c r="Z644" s="6">
        <v>16282.72</v>
      </c>
      <c r="AA644" s="6">
        <v>195392.64000000001</v>
      </c>
      <c r="AB644" s="4" t="s">
        <v>2232</v>
      </c>
      <c r="AC644" s="7" t="s">
        <v>2224</v>
      </c>
    </row>
    <row r="645" spans="1:29" ht="15" customHeight="1" collapsed="1" thickBot="1" x14ac:dyDescent="0.3">
      <c r="A645" s="20" t="str">
        <f>CONCATENATE("424"," - ","MR", " ","Bongani"," ", "Mlangeni")</f>
        <v>424 - MR Bongani Mlangeni</v>
      </c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2"/>
    </row>
    <row r="646" spans="1:29" ht="15" hidden="1" customHeight="1" outlineLevel="1" thickBot="1" x14ac:dyDescent="0.3">
      <c r="A646" s="4" t="s">
        <v>3250</v>
      </c>
      <c r="B646" s="4" t="s">
        <v>465</v>
      </c>
      <c r="C646" s="4" t="s">
        <v>2220</v>
      </c>
      <c r="D646" s="5">
        <v>42962.463194444441</v>
      </c>
      <c r="E646" s="4" t="s">
        <v>2221</v>
      </c>
      <c r="F646" s="4" t="s">
        <v>2222</v>
      </c>
      <c r="G646" s="4" t="s">
        <v>2014</v>
      </c>
      <c r="H646" s="4" t="s">
        <v>791</v>
      </c>
      <c r="I646" s="4" t="s">
        <v>1667</v>
      </c>
      <c r="J646" s="4" t="s">
        <v>1666</v>
      </c>
      <c r="K646" s="5">
        <v>32180</v>
      </c>
      <c r="L646" s="4" t="s">
        <v>3251</v>
      </c>
      <c r="M646" s="4" t="s">
        <v>9</v>
      </c>
      <c r="N646" s="5">
        <v>41773</v>
      </c>
      <c r="O646" s="5" t="s">
        <v>2224</v>
      </c>
      <c r="P646" s="4" t="s">
        <v>2224</v>
      </c>
      <c r="Q646" s="4" t="s">
        <v>3252</v>
      </c>
      <c r="R646" s="4" t="s">
        <v>2226</v>
      </c>
      <c r="S646" s="4" t="s">
        <v>2227</v>
      </c>
      <c r="T646" s="4" t="s">
        <v>2228</v>
      </c>
      <c r="U646" s="4" t="s">
        <v>2248</v>
      </c>
      <c r="V646" s="4" t="s">
        <v>346</v>
      </c>
      <c r="W646" s="4" t="s">
        <v>2230</v>
      </c>
      <c r="X646" s="4" t="s">
        <v>2224</v>
      </c>
      <c r="Y646" s="4" t="s">
        <v>2283</v>
      </c>
      <c r="Z646" s="6">
        <v>16940.8</v>
      </c>
      <c r="AA646" s="6">
        <v>203289.60000000001</v>
      </c>
      <c r="AB646" s="4" t="s">
        <v>2232</v>
      </c>
      <c r="AC646" s="7" t="s">
        <v>2224</v>
      </c>
    </row>
    <row r="647" spans="1:29" ht="15" customHeight="1" collapsed="1" thickBot="1" x14ac:dyDescent="0.3">
      <c r="A647" s="20" t="str">
        <f>CONCATENATE("425"," - ","MISS", " ","Jacqueline"," ", "Mlimi")</f>
        <v>425 - MISS Jacqueline Mlimi</v>
      </c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2"/>
    </row>
    <row r="648" spans="1:29" ht="15" hidden="1" customHeight="1" outlineLevel="1" thickBot="1" x14ac:dyDescent="0.3">
      <c r="A648" s="4" t="s">
        <v>3253</v>
      </c>
      <c r="B648" s="4" t="s">
        <v>495</v>
      </c>
      <c r="C648" s="4" t="s">
        <v>2220</v>
      </c>
      <c r="D648" s="5">
        <v>42962.549999999996</v>
      </c>
      <c r="E648" s="4" t="s">
        <v>2221</v>
      </c>
      <c r="F648" s="4" t="s">
        <v>2222</v>
      </c>
      <c r="G648" s="4" t="s">
        <v>2234</v>
      </c>
      <c r="H648" s="4" t="s">
        <v>1600</v>
      </c>
      <c r="I648" s="4" t="s">
        <v>1723</v>
      </c>
      <c r="J648" s="4" t="s">
        <v>1722</v>
      </c>
      <c r="K648" s="5">
        <v>34384</v>
      </c>
      <c r="L648" s="4" t="s">
        <v>3254</v>
      </c>
      <c r="M648" s="4" t="s">
        <v>9</v>
      </c>
      <c r="N648" s="5">
        <v>41944</v>
      </c>
      <c r="O648" s="5" t="s">
        <v>2224</v>
      </c>
      <c r="P648" s="4" t="s">
        <v>2224</v>
      </c>
      <c r="Q648" s="4" t="s">
        <v>2552</v>
      </c>
      <c r="R648" s="4" t="s">
        <v>2226</v>
      </c>
      <c r="S648" s="4" t="s">
        <v>2227</v>
      </c>
      <c r="T648" s="4" t="s">
        <v>2228</v>
      </c>
      <c r="U648" s="4" t="s">
        <v>2237</v>
      </c>
      <c r="V648" s="4" t="s">
        <v>8</v>
      </c>
      <c r="W648" s="4" t="s">
        <v>2278</v>
      </c>
      <c r="X648" s="4" t="s">
        <v>2224</v>
      </c>
      <c r="Y648" s="4" t="s">
        <v>2239</v>
      </c>
      <c r="Z648" s="6">
        <v>16282.77</v>
      </c>
      <c r="AA648" s="6">
        <v>195393.24</v>
      </c>
      <c r="AB648" s="4" t="s">
        <v>2232</v>
      </c>
      <c r="AC648" s="7" t="s">
        <v>2224</v>
      </c>
    </row>
    <row r="649" spans="1:29" ht="15" customHeight="1" collapsed="1" thickBot="1" x14ac:dyDescent="0.3">
      <c r="A649" s="20" t="str">
        <f>CONCATENATE("426"," - ","MISS", " ","Nomalungisa"," ", "Mlumbi")</f>
        <v>426 - MISS Nomalungisa Mlumbi</v>
      </c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2"/>
    </row>
    <row r="650" spans="1:29" ht="15" hidden="1" customHeight="1" outlineLevel="1" thickBot="1" x14ac:dyDescent="0.3">
      <c r="A650" s="4" t="s">
        <v>3255</v>
      </c>
      <c r="B650" s="4" t="s">
        <v>329</v>
      </c>
      <c r="C650" s="4" t="s">
        <v>2220</v>
      </c>
      <c r="D650" s="5">
        <v>42962.461805555555</v>
      </c>
      <c r="E650" s="4" t="s">
        <v>2221</v>
      </c>
      <c r="F650" s="4" t="s">
        <v>2222</v>
      </c>
      <c r="G650" s="4" t="s">
        <v>2234</v>
      </c>
      <c r="H650" s="4" t="s">
        <v>797</v>
      </c>
      <c r="I650" s="4" t="s">
        <v>1400</v>
      </c>
      <c r="J650" s="4" t="s">
        <v>1399</v>
      </c>
      <c r="K650" s="5">
        <v>32717</v>
      </c>
      <c r="L650" s="4" t="s">
        <v>3256</v>
      </c>
      <c r="M650" s="4" t="s">
        <v>9</v>
      </c>
      <c r="N650" s="5">
        <v>41239</v>
      </c>
      <c r="O650" s="5" t="s">
        <v>2224</v>
      </c>
      <c r="P650" s="4" t="s">
        <v>2224</v>
      </c>
      <c r="Q650" s="4" t="s">
        <v>3257</v>
      </c>
      <c r="R650" s="4" t="s">
        <v>2226</v>
      </c>
      <c r="S650" s="4" t="s">
        <v>2227</v>
      </c>
      <c r="T650" s="4" t="s">
        <v>2228</v>
      </c>
      <c r="U650" s="4" t="s">
        <v>2229</v>
      </c>
      <c r="V650" s="4" t="s">
        <v>25</v>
      </c>
      <c r="W650" s="4" t="s">
        <v>2278</v>
      </c>
      <c r="X650" s="4" t="s">
        <v>2224</v>
      </c>
      <c r="Y650" s="4" t="s">
        <v>2469</v>
      </c>
      <c r="Z650" s="6">
        <v>16692.34</v>
      </c>
      <c r="AA650" s="6">
        <v>200308.08</v>
      </c>
      <c r="AB650" s="4" t="s">
        <v>2232</v>
      </c>
      <c r="AC650" s="7" t="s">
        <v>2224</v>
      </c>
    </row>
    <row r="651" spans="1:29" ht="15" customHeight="1" collapsed="1" thickBot="1" x14ac:dyDescent="0.3">
      <c r="A651" s="20" t="str">
        <f>CONCATENATE("427"," - ","MISS", " ","Nomonde"," ", "Mlunguza")</f>
        <v>427 - MISS Nomonde Mlunguza</v>
      </c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2"/>
    </row>
    <row r="652" spans="1:29" ht="15" hidden="1" customHeight="1" outlineLevel="1" thickBot="1" x14ac:dyDescent="0.3">
      <c r="A652" s="4" t="s">
        <v>3258</v>
      </c>
      <c r="B652" s="4" t="s">
        <v>260</v>
      </c>
      <c r="C652" s="4" t="s">
        <v>2220</v>
      </c>
      <c r="D652" s="5">
        <v>42962.461111111108</v>
      </c>
      <c r="E652" s="4" t="s">
        <v>2221</v>
      </c>
      <c r="F652" s="4" t="s">
        <v>2222</v>
      </c>
      <c r="G652" s="4" t="s">
        <v>2234</v>
      </c>
      <c r="H652" s="4" t="s">
        <v>1277</v>
      </c>
      <c r="I652" s="4" t="s">
        <v>1278</v>
      </c>
      <c r="J652" s="4" t="s">
        <v>1276</v>
      </c>
      <c r="K652" s="5">
        <v>32873</v>
      </c>
      <c r="L652" s="4" t="s">
        <v>3259</v>
      </c>
      <c r="M652" s="4" t="s">
        <v>9</v>
      </c>
      <c r="N652" s="5">
        <v>40603</v>
      </c>
      <c r="O652" s="5" t="s">
        <v>2224</v>
      </c>
      <c r="P652" s="4" t="s">
        <v>2224</v>
      </c>
      <c r="Q652" s="4" t="s">
        <v>3260</v>
      </c>
      <c r="R652" s="4" t="s">
        <v>2226</v>
      </c>
      <c r="S652" s="4" t="s">
        <v>2227</v>
      </c>
      <c r="T652" s="4" t="s">
        <v>2228</v>
      </c>
      <c r="U652" s="4" t="s">
        <v>2229</v>
      </c>
      <c r="V652" s="4" t="s">
        <v>25</v>
      </c>
      <c r="W652" s="4" t="s">
        <v>2278</v>
      </c>
      <c r="X652" s="4" t="s">
        <v>2224</v>
      </c>
      <c r="Y652" s="4" t="s">
        <v>2321</v>
      </c>
      <c r="Z652" s="6">
        <v>16900.990000000002</v>
      </c>
      <c r="AA652" s="6">
        <v>202811.88</v>
      </c>
      <c r="AB652" s="4" t="s">
        <v>2232</v>
      </c>
      <c r="AC652" s="7" t="s">
        <v>2224</v>
      </c>
    </row>
    <row r="653" spans="1:29" ht="15" customHeight="1" collapsed="1" thickBot="1" x14ac:dyDescent="0.3">
      <c r="A653" s="20" t="str">
        <f>CONCATENATE("428"," - ","MISS", " ","Nombulelo"," ", "Mncama")</f>
        <v>428 - MISS Nombulelo Mncama</v>
      </c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2"/>
    </row>
    <row r="654" spans="1:29" ht="15" hidden="1" customHeight="1" outlineLevel="1" thickBot="1" x14ac:dyDescent="0.3">
      <c r="A654" s="4" t="s">
        <v>3261</v>
      </c>
      <c r="B654" s="4" t="s">
        <v>532</v>
      </c>
      <c r="C654" s="4" t="s">
        <v>2220</v>
      </c>
      <c r="D654" s="5">
        <v>42962.461111111108</v>
      </c>
      <c r="E654" s="4" t="s">
        <v>2221</v>
      </c>
      <c r="F654" s="4" t="s">
        <v>2222</v>
      </c>
      <c r="G654" s="4" t="s">
        <v>2234</v>
      </c>
      <c r="H654" s="4" t="s">
        <v>797</v>
      </c>
      <c r="I654" s="4" t="s">
        <v>1396</v>
      </c>
      <c r="J654" s="4" t="s">
        <v>1794</v>
      </c>
      <c r="K654" s="5">
        <v>33257</v>
      </c>
      <c r="L654" s="4" t="s">
        <v>3262</v>
      </c>
      <c r="M654" s="4" t="s">
        <v>9</v>
      </c>
      <c r="N654" s="5">
        <v>42072</v>
      </c>
      <c r="O654" s="5" t="s">
        <v>2224</v>
      </c>
      <c r="P654" s="4" t="s">
        <v>2224</v>
      </c>
      <c r="Q654" s="4" t="s">
        <v>3263</v>
      </c>
      <c r="R654" s="4" t="s">
        <v>2226</v>
      </c>
      <c r="S654" s="4" t="s">
        <v>2227</v>
      </c>
      <c r="T654" s="4" t="s">
        <v>2228</v>
      </c>
      <c r="U654" s="4" t="s">
        <v>2237</v>
      </c>
      <c r="V654" s="4" t="s">
        <v>8</v>
      </c>
      <c r="W654" s="4" t="s">
        <v>2278</v>
      </c>
      <c r="X654" s="4" t="s">
        <v>2224</v>
      </c>
      <c r="Y654" s="4" t="s">
        <v>2380</v>
      </c>
      <c r="Z654" s="6">
        <v>8040.85</v>
      </c>
      <c r="AA654" s="6">
        <v>96490.2</v>
      </c>
      <c r="AB654" s="4" t="s">
        <v>2232</v>
      </c>
      <c r="AC654" s="7" t="s">
        <v>2224</v>
      </c>
    </row>
    <row r="655" spans="1:29" ht="15" customHeight="1" collapsed="1" thickBot="1" x14ac:dyDescent="0.3">
      <c r="A655" s="20" t="str">
        <f>CONCATENATE("429"," - ","MISS", " ","Ntombizodwa"," ", "Mngoma")</f>
        <v>429 - MISS Ntombizodwa Mngoma</v>
      </c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2"/>
    </row>
    <row r="656" spans="1:29" ht="15" hidden="1" customHeight="1" outlineLevel="1" thickBot="1" x14ac:dyDescent="0.3">
      <c r="A656" s="4" t="s">
        <v>3264</v>
      </c>
      <c r="B656" s="4" t="s">
        <v>224</v>
      </c>
      <c r="C656" s="4" t="s">
        <v>2220</v>
      </c>
      <c r="D656" s="5">
        <v>42962.461111111108</v>
      </c>
      <c r="E656" s="4" t="s">
        <v>2221</v>
      </c>
      <c r="F656" s="4" t="s">
        <v>2222</v>
      </c>
      <c r="G656" s="4" t="s">
        <v>2234</v>
      </c>
      <c r="H656" s="4" t="s">
        <v>1208</v>
      </c>
      <c r="I656" s="4" t="s">
        <v>1209</v>
      </c>
      <c r="J656" s="4" t="s">
        <v>1207</v>
      </c>
      <c r="K656" s="5">
        <v>30802</v>
      </c>
      <c r="L656" s="4" t="s">
        <v>3265</v>
      </c>
      <c r="M656" s="4" t="s">
        <v>9</v>
      </c>
      <c r="N656" s="5">
        <v>40299</v>
      </c>
      <c r="O656" s="5" t="s">
        <v>2224</v>
      </c>
      <c r="P656" s="4" t="s">
        <v>2224</v>
      </c>
      <c r="Q656" s="4" t="s">
        <v>3266</v>
      </c>
      <c r="R656" s="4" t="s">
        <v>2226</v>
      </c>
      <c r="S656" s="4" t="s">
        <v>2227</v>
      </c>
      <c r="T656" s="4" t="s">
        <v>2228</v>
      </c>
      <c r="U656" s="4" t="s">
        <v>2229</v>
      </c>
      <c r="V656" s="4" t="s">
        <v>25</v>
      </c>
      <c r="W656" s="4" t="s">
        <v>2278</v>
      </c>
      <c r="X656" s="4" t="s">
        <v>2224</v>
      </c>
      <c r="Y656" s="4" t="s">
        <v>2511</v>
      </c>
      <c r="Z656" s="6">
        <v>17112.251499999998</v>
      </c>
      <c r="AA656" s="6">
        <v>205347.02</v>
      </c>
      <c r="AB656" s="4" t="s">
        <v>2232</v>
      </c>
      <c r="AC656" s="7" t="s">
        <v>2224</v>
      </c>
    </row>
    <row r="657" spans="1:29" ht="15" customHeight="1" collapsed="1" thickBot="1" x14ac:dyDescent="0.3">
      <c r="A657" s="20" t="str">
        <f>CONCATENATE("43"," - ","MISS", " ","Elaine"," ", "Barker")</f>
        <v>43 - MISS Elaine Barker</v>
      </c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2"/>
    </row>
    <row r="658" spans="1:29" ht="15" hidden="1" customHeight="1" outlineLevel="1" thickBot="1" x14ac:dyDescent="0.3">
      <c r="A658" s="4" t="s">
        <v>3267</v>
      </c>
      <c r="B658" s="4" t="s">
        <v>225</v>
      </c>
      <c r="C658" s="4" t="s">
        <v>2220</v>
      </c>
      <c r="D658" s="5">
        <v>42962.461111111108</v>
      </c>
      <c r="E658" s="4" t="s">
        <v>2221</v>
      </c>
      <c r="F658" s="4" t="s">
        <v>2222</v>
      </c>
      <c r="G658" s="4" t="s">
        <v>2234</v>
      </c>
      <c r="H658" s="4" t="s">
        <v>1211</v>
      </c>
      <c r="I658" s="4" t="s">
        <v>1212</v>
      </c>
      <c r="J658" s="4" t="s">
        <v>1210</v>
      </c>
      <c r="K658" s="5">
        <v>27085</v>
      </c>
      <c r="L658" s="4" t="s">
        <v>3268</v>
      </c>
      <c r="M658" s="4" t="s">
        <v>9</v>
      </c>
      <c r="N658" s="5">
        <v>40299</v>
      </c>
      <c r="O658" s="5" t="s">
        <v>2224</v>
      </c>
      <c r="P658" s="4" t="s">
        <v>2224</v>
      </c>
      <c r="Q658" s="4" t="s">
        <v>3269</v>
      </c>
      <c r="R658" s="4" t="s">
        <v>2226</v>
      </c>
      <c r="S658" s="4" t="s">
        <v>2227</v>
      </c>
      <c r="T658" s="4" t="s">
        <v>2228</v>
      </c>
      <c r="U658" s="4" t="s">
        <v>2229</v>
      </c>
      <c r="V658" s="4" t="s">
        <v>17</v>
      </c>
      <c r="W658" s="4" t="s">
        <v>2230</v>
      </c>
      <c r="X658" s="4" t="s">
        <v>2224</v>
      </c>
      <c r="Y658" s="4" t="s">
        <v>2423</v>
      </c>
      <c r="Z658" s="6">
        <v>11170.48</v>
      </c>
      <c r="AA658" s="6">
        <v>134045.76000000001</v>
      </c>
      <c r="AB658" s="4" t="s">
        <v>2232</v>
      </c>
      <c r="AC658" s="7" t="s">
        <v>2224</v>
      </c>
    </row>
    <row r="659" spans="1:29" ht="15" customHeight="1" collapsed="1" thickBot="1" x14ac:dyDescent="0.3">
      <c r="A659" s="20" t="str">
        <f>CONCATENATE("430"," - ","MISS", " ","Portia"," ", "Mngoma")</f>
        <v>430 - MISS Portia Mngoma</v>
      </c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2"/>
    </row>
    <row r="660" spans="1:29" ht="15" hidden="1" customHeight="1" outlineLevel="1" thickBot="1" x14ac:dyDescent="0.3">
      <c r="A660" s="4" t="s">
        <v>3270</v>
      </c>
      <c r="B660" s="4" t="s">
        <v>522</v>
      </c>
      <c r="C660" s="4" t="s">
        <v>2220</v>
      </c>
      <c r="D660" s="5">
        <v>42962.461805555555</v>
      </c>
      <c r="E660" s="4" t="s">
        <v>2221</v>
      </c>
      <c r="F660" s="4" t="s">
        <v>2222</v>
      </c>
      <c r="G660" s="4" t="s">
        <v>2234</v>
      </c>
      <c r="H660" s="4" t="s">
        <v>1274</v>
      </c>
      <c r="I660" s="4" t="s">
        <v>1733</v>
      </c>
      <c r="J660" s="4" t="s">
        <v>1207</v>
      </c>
      <c r="K660" s="5">
        <v>31720</v>
      </c>
      <c r="L660" s="4" t="s">
        <v>3271</v>
      </c>
      <c r="M660" s="4" t="s">
        <v>9</v>
      </c>
      <c r="N660" s="5">
        <v>42072</v>
      </c>
      <c r="O660" s="5" t="s">
        <v>2224</v>
      </c>
      <c r="P660" s="4" t="s">
        <v>2224</v>
      </c>
      <c r="Q660" s="4" t="s">
        <v>3272</v>
      </c>
      <c r="R660" s="4" t="s">
        <v>2226</v>
      </c>
      <c r="S660" s="4" t="s">
        <v>2227</v>
      </c>
      <c r="T660" s="4" t="s">
        <v>2228</v>
      </c>
      <c r="U660" s="4" t="s">
        <v>2229</v>
      </c>
      <c r="V660" s="4" t="s">
        <v>25</v>
      </c>
      <c r="W660" s="4" t="s">
        <v>2278</v>
      </c>
      <c r="X660" s="4" t="s">
        <v>2224</v>
      </c>
      <c r="Y660" s="4" t="s">
        <v>2321</v>
      </c>
      <c r="Z660" s="6">
        <v>10710.1538</v>
      </c>
      <c r="AA660" s="6">
        <v>128521.85</v>
      </c>
      <c r="AB660" s="4" t="s">
        <v>2232</v>
      </c>
      <c r="AC660" s="7" t="s">
        <v>2224</v>
      </c>
    </row>
    <row r="661" spans="1:29" ht="15" customHeight="1" collapsed="1" thickBot="1" x14ac:dyDescent="0.3">
      <c r="A661" s="20" t="str">
        <f>CONCATENATE("431"," - ","MISS", " ","Nombulelo"," ", "Mnyamana")</f>
        <v>431 - MISS Nombulelo Mnyamana</v>
      </c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2"/>
    </row>
    <row r="662" spans="1:29" ht="15" hidden="1" customHeight="1" outlineLevel="1" thickBot="1" x14ac:dyDescent="0.3">
      <c r="A662" s="4" t="s">
        <v>3273</v>
      </c>
      <c r="B662" s="4" t="s">
        <v>327</v>
      </c>
      <c r="C662" s="4" t="s">
        <v>2220</v>
      </c>
      <c r="D662" s="5">
        <v>42962.461805555555</v>
      </c>
      <c r="E662" s="4" t="s">
        <v>2221</v>
      </c>
      <c r="F662" s="4" t="s">
        <v>2222</v>
      </c>
      <c r="G662" s="4" t="s">
        <v>2234</v>
      </c>
      <c r="H662" s="4" t="s">
        <v>797</v>
      </c>
      <c r="I662" s="4" t="s">
        <v>1396</v>
      </c>
      <c r="J662" s="4" t="s">
        <v>1395</v>
      </c>
      <c r="K662" s="5">
        <v>33274</v>
      </c>
      <c r="L662" s="4" t="s">
        <v>3274</v>
      </c>
      <c r="M662" s="4" t="s">
        <v>9</v>
      </c>
      <c r="N662" s="5">
        <v>41239</v>
      </c>
      <c r="O662" s="5" t="s">
        <v>2224</v>
      </c>
      <c r="P662" s="4" t="s">
        <v>2224</v>
      </c>
      <c r="Q662" s="4" t="s">
        <v>3275</v>
      </c>
      <c r="R662" s="4" t="s">
        <v>2226</v>
      </c>
      <c r="S662" s="4" t="s">
        <v>2227</v>
      </c>
      <c r="T662" s="4" t="s">
        <v>2228</v>
      </c>
      <c r="U662" s="4" t="s">
        <v>2229</v>
      </c>
      <c r="V662" s="4" t="s">
        <v>25</v>
      </c>
      <c r="W662" s="4" t="s">
        <v>2278</v>
      </c>
      <c r="X662" s="4" t="s">
        <v>2224</v>
      </c>
      <c r="Y662" s="4" t="s">
        <v>2469</v>
      </c>
      <c r="Z662" s="6">
        <v>16692.34</v>
      </c>
      <c r="AA662" s="6">
        <v>200308.08</v>
      </c>
      <c r="AB662" s="4" t="s">
        <v>2232</v>
      </c>
      <c r="AC662" s="7" t="s">
        <v>2224</v>
      </c>
    </row>
    <row r="663" spans="1:29" ht="15" customHeight="1" collapsed="1" thickBot="1" x14ac:dyDescent="0.3">
      <c r="A663" s="20" t="str">
        <f>CONCATENATE("432"," - ","MISS", " ","Fatima"," ", "Modak")</f>
        <v>432 - MISS Fatima Modak</v>
      </c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2"/>
    </row>
    <row r="664" spans="1:29" ht="15" hidden="1" customHeight="1" outlineLevel="1" thickBot="1" x14ac:dyDescent="0.3">
      <c r="A664" s="4" t="s">
        <v>3276</v>
      </c>
      <c r="B664" s="4" t="s">
        <v>93</v>
      </c>
      <c r="C664" s="4" t="s">
        <v>2220</v>
      </c>
      <c r="D664" s="5">
        <v>42962.461111111108</v>
      </c>
      <c r="E664" s="4" t="s">
        <v>2221</v>
      </c>
      <c r="F664" s="4" t="s">
        <v>2222</v>
      </c>
      <c r="G664" s="4" t="s">
        <v>2234</v>
      </c>
      <c r="H664" s="4" t="s">
        <v>841</v>
      </c>
      <c r="I664" s="4" t="s">
        <v>948</v>
      </c>
      <c r="J664" s="4" t="s">
        <v>947</v>
      </c>
      <c r="K664" s="5">
        <v>29931</v>
      </c>
      <c r="L664" s="4" t="s">
        <v>3277</v>
      </c>
      <c r="M664" s="4" t="s">
        <v>9</v>
      </c>
      <c r="N664" s="5">
        <v>39020</v>
      </c>
      <c r="O664" s="5" t="s">
        <v>2224</v>
      </c>
      <c r="P664" s="4" t="s">
        <v>2224</v>
      </c>
      <c r="Q664" s="4" t="s">
        <v>3278</v>
      </c>
      <c r="R664" s="4" t="s">
        <v>2226</v>
      </c>
      <c r="S664" s="4" t="s">
        <v>2227</v>
      </c>
      <c r="T664" s="4" t="s">
        <v>2228</v>
      </c>
      <c r="U664" s="4" t="s">
        <v>2229</v>
      </c>
      <c r="V664" s="4" t="s">
        <v>17</v>
      </c>
      <c r="W664" s="4" t="s">
        <v>2278</v>
      </c>
      <c r="X664" s="4" t="s">
        <v>2224</v>
      </c>
      <c r="Y664" s="4" t="s">
        <v>2380</v>
      </c>
      <c r="Z664" s="6">
        <v>19891.599999999999</v>
      </c>
      <c r="AA664" s="6">
        <v>238699.2</v>
      </c>
      <c r="AB664" s="4" t="s">
        <v>2232</v>
      </c>
      <c r="AC664" s="7" t="s">
        <v>2224</v>
      </c>
    </row>
    <row r="665" spans="1:29" ht="15" customHeight="1" collapsed="1" thickBot="1" x14ac:dyDescent="0.3">
      <c r="A665" s="20" t="str">
        <f>CONCATENATE("433"," - ","MS", " ","Molebogeng"," ", "Modikwe")</f>
        <v>433 - MS Molebogeng Modikwe</v>
      </c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2"/>
    </row>
    <row r="666" spans="1:29" ht="15" hidden="1" customHeight="1" outlineLevel="1" thickBot="1" x14ac:dyDescent="0.3">
      <c r="A666" s="4" t="s">
        <v>3279</v>
      </c>
      <c r="B666" s="4" t="s">
        <v>770</v>
      </c>
      <c r="C666" s="4" t="s">
        <v>2220</v>
      </c>
      <c r="D666" s="5">
        <v>42962.549999999996</v>
      </c>
      <c r="E666" s="4" t="s">
        <v>2221</v>
      </c>
      <c r="F666" s="4" t="s">
        <v>2222</v>
      </c>
      <c r="G666" s="4" t="s">
        <v>813</v>
      </c>
      <c r="H666" s="4" t="s">
        <v>2187</v>
      </c>
      <c r="I666" s="4" t="s">
        <v>780</v>
      </c>
      <c r="J666" s="4" t="s">
        <v>2186</v>
      </c>
      <c r="K666" s="5">
        <v>34247</v>
      </c>
      <c r="L666" s="4" t="s">
        <v>3280</v>
      </c>
      <c r="M666" s="4" t="s">
        <v>9</v>
      </c>
      <c r="N666" s="5">
        <v>42887</v>
      </c>
      <c r="O666" s="5" t="s">
        <v>2224</v>
      </c>
      <c r="P666" s="4" t="s">
        <v>2224</v>
      </c>
      <c r="Q666" s="4" t="s">
        <v>3281</v>
      </c>
      <c r="R666" s="4" t="s">
        <v>2226</v>
      </c>
      <c r="S666" s="4" t="s">
        <v>2227</v>
      </c>
      <c r="T666" s="4" t="s">
        <v>2228</v>
      </c>
      <c r="U666" s="4" t="s">
        <v>2237</v>
      </c>
      <c r="V666" s="4" t="s">
        <v>8</v>
      </c>
      <c r="W666" s="4" t="s">
        <v>2238</v>
      </c>
      <c r="X666" s="4" t="s">
        <v>2224</v>
      </c>
      <c r="Y666" s="4" t="s">
        <v>2239</v>
      </c>
      <c r="Z666" s="6">
        <v>15883.16</v>
      </c>
      <c r="AA666" s="6">
        <v>190597.92</v>
      </c>
      <c r="AB666" s="4" t="s">
        <v>2224</v>
      </c>
      <c r="AC666" s="7" t="s">
        <v>2244</v>
      </c>
    </row>
    <row r="667" spans="1:29" ht="15" customHeight="1" collapsed="1" thickBot="1" x14ac:dyDescent="0.3">
      <c r="A667" s="20" t="str">
        <f>CONCATENATE("434"," - ","MISS", " ","Mmapelo"," ", "Mogano")</f>
        <v>434 - MISS Mmapelo Mogano</v>
      </c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2"/>
    </row>
    <row r="668" spans="1:29" ht="15" hidden="1" customHeight="1" outlineLevel="1" thickBot="1" x14ac:dyDescent="0.3">
      <c r="A668" s="4" t="s">
        <v>3282</v>
      </c>
      <c r="B668" s="4" t="s">
        <v>452</v>
      </c>
      <c r="C668" s="4" t="s">
        <v>2220</v>
      </c>
      <c r="D668" s="5">
        <v>42962.461805555555</v>
      </c>
      <c r="E668" s="4" t="s">
        <v>2221</v>
      </c>
      <c r="F668" s="4" t="s">
        <v>2222</v>
      </c>
      <c r="G668" s="4" t="s">
        <v>2234</v>
      </c>
      <c r="H668" s="4" t="s">
        <v>904</v>
      </c>
      <c r="I668" s="4" t="s">
        <v>1640</v>
      </c>
      <c r="J668" s="4" t="s">
        <v>1639</v>
      </c>
      <c r="K668" s="5">
        <v>32441</v>
      </c>
      <c r="L668" s="4" t="s">
        <v>3283</v>
      </c>
      <c r="M668" s="4" t="s">
        <v>9</v>
      </c>
      <c r="N668" s="5">
        <v>41699</v>
      </c>
      <c r="O668" s="5" t="s">
        <v>2224</v>
      </c>
      <c r="P668" s="4" t="s">
        <v>2224</v>
      </c>
      <c r="Q668" s="4" t="s">
        <v>3284</v>
      </c>
      <c r="R668" s="4" t="s">
        <v>2226</v>
      </c>
      <c r="S668" s="4" t="s">
        <v>2227</v>
      </c>
      <c r="T668" s="4" t="s">
        <v>2228</v>
      </c>
      <c r="U668" s="4" t="s">
        <v>2229</v>
      </c>
      <c r="V668" s="4" t="s">
        <v>25</v>
      </c>
      <c r="W668" s="4" t="s">
        <v>2278</v>
      </c>
      <c r="X668" s="4" t="s">
        <v>2224</v>
      </c>
      <c r="Y668" s="4" t="s">
        <v>2231</v>
      </c>
      <c r="Z668" s="6">
        <v>10844.028399999999</v>
      </c>
      <c r="AA668" s="6">
        <v>130128.34</v>
      </c>
      <c r="AB668" s="4" t="s">
        <v>2232</v>
      </c>
      <c r="AC668" s="7" t="s">
        <v>2224</v>
      </c>
    </row>
    <row r="669" spans="1:29" ht="15" customHeight="1" collapsed="1" thickBot="1" x14ac:dyDescent="0.3">
      <c r="A669" s="20" t="str">
        <f>CONCATENATE("435"," - ","MISS", " ","Lucia"," ", "Mogapi")</f>
        <v>435 - MISS Lucia Mogapi</v>
      </c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2"/>
    </row>
    <row r="670" spans="1:29" ht="15" hidden="1" customHeight="1" outlineLevel="1" thickBot="1" x14ac:dyDescent="0.3">
      <c r="A670" s="4" t="s">
        <v>3285</v>
      </c>
      <c r="B670" s="4" t="s">
        <v>547</v>
      </c>
      <c r="C670" s="4" t="s">
        <v>2220</v>
      </c>
      <c r="D670" s="5">
        <v>42962.549999999996</v>
      </c>
      <c r="E670" s="4" t="s">
        <v>2221</v>
      </c>
      <c r="F670" s="4" t="s">
        <v>2222</v>
      </c>
      <c r="G670" s="4" t="s">
        <v>2234</v>
      </c>
      <c r="H670" s="4" t="s">
        <v>826</v>
      </c>
      <c r="I670" s="4" t="s">
        <v>1818</v>
      </c>
      <c r="J670" s="4" t="s">
        <v>1519</v>
      </c>
      <c r="K670" s="5">
        <v>33295</v>
      </c>
      <c r="L670" s="4" t="s">
        <v>3286</v>
      </c>
      <c r="M670" s="4" t="s">
        <v>9</v>
      </c>
      <c r="N670" s="5">
        <v>42072</v>
      </c>
      <c r="O670" s="5" t="s">
        <v>2224</v>
      </c>
      <c r="P670" s="4" t="s">
        <v>2224</v>
      </c>
      <c r="Q670" s="4" t="s">
        <v>3287</v>
      </c>
      <c r="R670" s="4" t="s">
        <v>2226</v>
      </c>
      <c r="S670" s="4" t="s">
        <v>2227</v>
      </c>
      <c r="T670" s="4" t="s">
        <v>2228</v>
      </c>
      <c r="U670" s="4" t="s">
        <v>2237</v>
      </c>
      <c r="V670" s="4" t="s">
        <v>8</v>
      </c>
      <c r="W670" s="4" t="s">
        <v>2278</v>
      </c>
      <c r="X670" s="4" t="s">
        <v>2224</v>
      </c>
      <c r="Y670" s="4" t="s">
        <v>2239</v>
      </c>
      <c r="Z670" s="6">
        <v>16081.7</v>
      </c>
      <c r="AA670" s="6">
        <v>192980.4</v>
      </c>
      <c r="AB670" s="4" t="s">
        <v>2232</v>
      </c>
      <c r="AC670" s="7" t="s">
        <v>2224</v>
      </c>
    </row>
    <row r="671" spans="1:29" ht="15" customHeight="1" collapsed="1" thickBot="1" x14ac:dyDescent="0.3">
      <c r="A671" s="20" t="str">
        <f>CONCATENATE("436"," - ","MR", " ","Sipho"," ", "Mogapi")</f>
        <v>436 - MR Sipho Mogapi</v>
      </c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2"/>
    </row>
    <row r="672" spans="1:29" ht="15" hidden="1" customHeight="1" outlineLevel="1" thickBot="1" x14ac:dyDescent="0.3">
      <c r="A672" s="4" t="s">
        <v>3288</v>
      </c>
      <c r="B672" s="4" t="s">
        <v>396</v>
      </c>
      <c r="C672" s="4" t="s">
        <v>2220</v>
      </c>
      <c r="D672" s="5">
        <v>42962.461111111108</v>
      </c>
      <c r="E672" s="4" t="s">
        <v>2221</v>
      </c>
      <c r="F672" s="4" t="s">
        <v>2222</v>
      </c>
      <c r="G672" s="4" t="s">
        <v>2014</v>
      </c>
      <c r="H672" s="4" t="s">
        <v>1139</v>
      </c>
      <c r="I672" s="4" t="s">
        <v>1520</v>
      </c>
      <c r="J672" s="4" t="s">
        <v>1519</v>
      </c>
      <c r="K672" s="5">
        <v>33268</v>
      </c>
      <c r="L672" s="4" t="s">
        <v>3289</v>
      </c>
      <c r="M672" s="4" t="s">
        <v>9</v>
      </c>
      <c r="N672" s="5">
        <v>41487</v>
      </c>
      <c r="O672" s="5" t="s">
        <v>2224</v>
      </c>
      <c r="P672" s="4" t="s">
        <v>2224</v>
      </c>
      <c r="Q672" s="4" t="s">
        <v>3290</v>
      </c>
      <c r="R672" s="4" t="s">
        <v>2226</v>
      </c>
      <c r="S672" s="4" t="s">
        <v>2227</v>
      </c>
      <c r="T672" s="4" t="s">
        <v>2228</v>
      </c>
      <c r="U672" s="4" t="s">
        <v>2229</v>
      </c>
      <c r="V672" s="4" t="s">
        <v>25</v>
      </c>
      <c r="W672" s="4" t="s">
        <v>2278</v>
      </c>
      <c r="X672" s="4" t="s">
        <v>2224</v>
      </c>
      <c r="Y672" s="4" t="s">
        <v>2423</v>
      </c>
      <c r="Z672" s="6">
        <v>5355.0716000000002</v>
      </c>
      <c r="AA672" s="6">
        <v>64260.86</v>
      </c>
      <c r="AB672" s="4" t="s">
        <v>2232</v>
      </c>
      <c r="AC672" s="7" t="s">
        <v>2224</v>
      </c>
    </row>
    <row r="673" spans="1:29" ht="15" customHeight="1" collapsed="1" thickBot="1" x14ac:dyDescent="0.3">
      <c r="A673" s="20" t="str">
        <f>CONCATENATE("437"," - ","MRS", " ","Charmaine"," ", "Mogoane")</f>
        <v>437 - MRS Charmaine Mogoane</v>
      </c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2"/>
    </row>
    <row r="674" spans="1:29" ht="15" hidden="1" customHeight="1" outlineLevel="1" thickBot="1" x14ac:dyDescent="0.3">
      <c r="A674" s="4" t="s">
        <v>3291</v>
      </c>
      <c r="B674" s="4" t="s">
        <v>251</v>
      </c>
      <c r="C674" s="4" t="s">
        <v>2220</v>
      </c>
      <c r="D674" s="5">
        <v>42962.462500000001</v>
      </c>
      <c r="E674" s="4" t="s">
        <v>2221</v>
      </c>
      <c r="F674" s="4" t="s">
        <v>2222</v>
      </c>
      <c r="G674" s="4" t="s">
        <v>2280</v>
      </c>
      <c r="H674" s="4" t="s">
        <v>1258</v>
      </c>
      <c r="I674" s="4" t="s">
        <v>1259</v>
      </c>
      <c r="J674" s="4" t="s">
        <v>1257</v>
      </c>
      <c r="K674" s="5">
        <v>22817</v>
      </c>
      <c r="L674" s="4" t="s">
        <v>3292</v>
      </c>
      <c r="M674" s="4" t="s">
        <v>9</v>
      </c>
      <c r="N674" s="5">
        <v>40534</v>
      </c>
      <c r="O674" s="5" t="s">
        <v>2224</v>
      </c>
      <c r="P674" s="4" t="s">
        <v>2224</v>
      </c>
      <c r="Q674" s="4" t="s">
        <v>3293</v>
      </c>
      <c r="R674" s="4" t="s">
        <v>2226</v>
      </c>
      <c r="S674" s="4" t="s">
        <v>2227</v>
      </c>
      <c r="T674" s="4" t="s">
        <v>2228</v>
      </c>
      <c r="U674" s="4" t="s">
        <v>2248</v>
      </c>
      <c r="V674" s="4" t="s">
        <v>252</v>
      </c>
      <c r="W674" s="4" t="s">
        <v>2468</v>
      </c>
      <c r="X674" s="4" t="s">
        <v>2224</v>
      </c>
      <c r="Y674" s="4" t="s">
        <v>3010</v>
      </c>
      <c r="Z674" s="6">
        <v>5113.2734</v>
      </c>
      <c r="AA674" s="6">
        <v>61359.28</v>
      </c>
      <c r="AB674" s="4" t="s">
        <v>2232</v>
      </c>
      <c r="AC674" s="7" t="s">
        <v>2224</v>
      </c>
    </row>
    <row r="675" spans="1:29" ht="15" customHeight="1" collapsed="1" thickBot="1" x14ac:dyDescent="0.3">
      <c r="A675" s="20" t="str">
        <f>CONCATENATE("438"," - ","MISS", " ","Jennifer"," ", "Mogolola")</f>
        <v>438 - MISS Jennifer Mogolola</v>
      </c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2"/>
    </row>
    <row r="676" spans="1:29" ht="15" hidden="1" customHeight="1" outlineLevel="1" thickBot="1" x14ac:dyDescent="0.3">
      <c r="A676" s="4" t="s">
        <v>3294</v>
      </c>
      <c r="B676" s="4" t="s">
        <v>64</v>
      </c>
      <c r="C676" s="4" t="s">
        <v>2220</v>
      </c>
      <c r="D676" s="5">
        <v>42962.461805555555</v>
      </c>
      <c r="E676" s="4" t="s">
        <v>2221</v>
      </c>
      <c r="F676" s="4" t="s">
        <v>2222</v>
      </c>
      <c r="G676" s="4" t="s">
        <v>2234</v>
      </c>
      <c r="H676" s="4" t="s">
        <v>888</v>
      </c>
      <c r="I676" s="4" t="s">
        <v>889</v>
      </c>
      <c r="J676" s="4" t="s">
        <v>887</v>
      </c>
      <c r="K676" s="5">
        <v>29104</v>
      </c>
      <c r="L676" s="4" t="s">
        <v>3295</v>
      </c>
      <c r="M676" s="4" t="s">
        <v>9</v>
      </c>
      <c r="N676" s="5">
        <v>38999</v>
      </c>
      <c r="O676" s="5" t="s">
        <v>2224</v>
      </c>
      <c r="P676" s="4" t="s">
        <v>2224</v>
      </c>
      <c r="Q676" s="4" t="s">
        <v>3296</v>
      </c>
      <c r="R676" s="4" t="s">
        <v>2226</v>
      </c>
      <c r="S676" s="4" t="s">
        <v>2227</v>
      </c>
      <c r="T676" s="4" t="s">
        <v>2228</v>
      </c>
      <c r="U676" s="4" t="s">
        <v>2229</v>
      </c>
      <c r="V676" s="4" t="s">
        <v>17</v>
      </c>
      <c r="W676" s="4" t="s">
        <v>2230</v>
      </c>
      <c r="X676" s="4" t="s">
        <v>2224</v>
      </c>
      <c r="Y676" s="4" t="s">
        <v>2689</v>
      </c>
      <c r="Z676" s="6">
        <v>21430.874299999999</v>
      </c>
      <c r="AA676" s="6">
        <v>257170.49</v>
      </c>
      <c r="AB676" s="4" t="s">
        <v>2232</v>
      </c>
      <c r="AC676" s="7" t="s">
        <v>2224</v>
      </c>
    </row>
    <row r="677" spans="1:29" ht="15" customHeight="1" collapsed="1" thickBot="1" x14ac:dyDescent="0.3">
      <c r="A677" s="20" t="str">
        <f>CONCATENATE("439"," - ","MS", " ","Malope"," ", "Mogotlane")</f>
        <v>439 - MS Malope Mogotlane</v>
      </c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2"/>
    </row>
    <row r="678" spans="1:29" ht="15" hidden="1" customHeight="1" outlineLevel="1" thickBot="1" x14ac:dyDescent="0.3">
      <c r="A678" s="4" t="s">
        <v>3297</v>
      </c>
      <c r="B678" s="4" t="s">
        <v>630</v>
      </c>
      <c r="C678" s="4" t="s">
        <v>2220</v>
      </c>
      <c r="D678" s="5">
        <v>42962.549999999996</v>
      </c>
      <c r="E678" s="4" t="s">
        <v>2221</v>
      </c>
      <c r="F678" s="4" t="s">
        <v>2222</v>
      </c>
      <c r="G678" s="4" t="s">
        <v>813</v>
      </c>
      <c r="H678" s="4" t="s">
        <v>788</v>
      </c>
      <c r="I678" s="4" t="s">
        <v>1953</v>
      </c>
      <c r="J678" s="4" t="s">
        <v>1952</v>
      </c>
      <c r="K678" s="5">
        <v>33575</v>
      </c>
      <c r="L678" s="4" t="s">
        <v>3298</v>
      </c>
      <c r="M678" s="4" t="s">
        <v>9</v>
      </c>
      <c r="N678" s="5">
        <v>42303</v>
      </c>
      <c r="O678" s="5" t="s">
        <v>2224</v>
      </c>
      <c r="P678" s="4" t="s">
        <v>2224</v>
      </c>
      <c r="Q678" s="4" t="s">
        <v>3299</v>
      </c>
      <c r="R678" s="4" t="s">
        <v>2226</v>
      </c>
      <c r="S678" s="4" t="s">
        <v>2227</v>
      </c>
      <c r="T678" s="4" t="s">
        <v>2228</v>
      </c>
      <c r="U678" s="4" t="s">
        <v>2237</v>
      </c>
      <c r="V678" s="4" t="s">
        <v>8</v>
      </c>
      <c r="W678" s="4" t="s">
        <v>2278</v>
      </c>
      <c r="X678" s="4" t="s">
        <v>2224</v>
      </c>
      <c r="Y678" s="4" t="s">
        <v>2239</v>
      </c>
      <c r="Z678" s="6">
        <v>16081.7</v>
      </c>
      <c r="AA678" s="6">
        <v>192980.4</v>
      </c>
      <c r="AB678" s="4" t="s">
        <v>2232</v>
      </c>
      <c r="AC678" s="7" t="s">
        <v>2224</v>
      </c>
    </row>
    <row r="679" spans="1:29" ht="15" customHeight="1" collapsed="1" thickBot="1" x14ac:dyDescent="0.3">
      <c r="A679" s="20" t="str">
        <f>CONCATENATE("44"," - ","MR", " ","Andre"," ", "Barnard")</f>
        <v>44 - MR Andre Barnard</v>
      </c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2"/>
    </row>
    <row r="680" spans="1:29" ht="15" hidden="1" customHeight="1" outlineLevel="1" thickBot="1" x14ac:dyDescent="0.3">
      <c r="A680" s="4" t="s">
        <v>3300</v>
      </c>
      <c r="B680" s="4" t="s">
        <v>69</v>
      </c>
      <c r="C680" s="4" t="s">
        <v>2220</v>
      </c>
      <c r="D680" s="5">
        <v>42962.53402777778</v>
      </c>
      <c r="E680" s="4" t="s">
        <v>2221</v>
      </c>
      <c r="F680" s="4" t="s">
        <v>2222</v>
      </c>
      <c r="G680" s="4" t="s">
        <v>2014</v>
      </c>
      <c r="H680" s="4" t="s">
        <v>742</v>
      </c>
      <c r="I680" s="4" t="s">
        <v>898</v>
      </c>
      <c r="J680" s="4" t="s">
        <v>897</v>
      </c>
      <c r="K680" s="5">
        <v>27486</v>
      </c>
      <c r="L680" s="4" t="s">
        <v>3301</v>
      </c>
      <c r="M680" s="4" t="s">
        <v>9</v>
      </c>
      <c r="N680" s="5">
        <v>39006</v>
      </c>
      <c r="O680" s="5" t="s">
        <v>2224</v>
      </c>
      <c r="P680" s="4" t="s">
        <v>2224</v>
      </c>
      <c r="Q680" s="4" t="s">
        <v>3302</v>
      </c>
      <c r="R680" s="4" t="s">
        <v>2226</v>
      </c>
      <c r="S680" s="4" t="s">
        <v>2227</v>
      </c>
      <c r="T680" s="4" t="s">
        <v>2228</v>
      </c>
      <c r="U680" s="4" t="s">
        <v>2237</v>
      </c>
      <c r="V680" s="4" t="s">
        <v>70</v>
      </c>
      <c r="W680" s="4" t="s">
        <v>2230</v>
      </c>
      <c r="X680" s="4" t="s">
        <v>2224</v>
      </c>
      <c r="Y680" s="4" t="s">
        <v>2239</v>
      </c>
      <c r="Z680" s="6">
        <v>21430.874299999999</v>
      </c>
      <c r="AA680" s="6">
        <v>257170.49</v>
      </c>
      <c r="AB680" s="4" t="s">
        <v>2232</v>
      </c>
      <c r="AC680" s="7" t="s">
        <v>2224</v>
      </c>
    </row>
    <row r="681" spans="1:29" ht="15" customHeight="1" collapsed="1" thickBot="1" x14ac:dyDescent="0.3">
      <c r="A681" s="20" t="str">
        <f>CONCATENATE("440"," - ","MS", " ","Shanice"," ", "Mohan")</f>
        <v>440 - MS Shanice Mohan</v>
      </c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2"/>
    </row>
    <row r="682" spans="1:29" ht="15" hidden="1" customHeight="1" outlineLevel="1" thickBot="1" x14ac:dyDescent="0.3">
      <c r="A682" s="4" t="s">
        <v>3303</v>
      </c>
      <c r="B682" s="4" t="s">
        <v>636</v>
      </c>
      <c r="C682" s="4" t="s">
        <v>2220</v>
      </c>
      <c r="D682" s="5">
        <v>42962.549999999996</v>
      </c>
      <c r="E682" s="4" t="s">
        <v>2221</v>
      </c>
      <c r="F682" s="4" t="s">
        <v>2222</v>
      </c>
      <c r="G682" s="4" t="s">
        <v>813</v>
      </c>
      <c r="H682" s="4" t="s">
        <v>800</v>
      </c>
      <c r="I682" s="4" t="s">
        <v>1960</v>
      </c>
      <c r="J682" s="4" t="s">
        <v>1959</v>
      </c>
      <c r="K682" s="5">
        <v>34799</v>
      </c>
      <c r="L682" s="4" t="s">
        <v>3304</v>
      </c>
      <c r="M682" s="4" t="s">
        <v>9</v>
      </c>
      <c r="N682" s="5">
        <v>42317</v>
      </c>
      <c r="O682" s="5" t="s">
        <v>2224</v>
      </c>
      <c r="P682" s="4" t="s">
        <v>2224</v>
      </c>
      <c r="Q682" s="4" t="s">
        <v>3305</v>
      </c>
      <c r="R682" s="4" t="s">
        <v>2226</v>
      </c>
      <c r="S682" s="4" t="s">
        <v>2227</v>
      </c>
      <c r="T682" s="4" t="s">
        <v>2228</v>
      </c>
      <c r="U682" s="4" t="s">
        <v>2237</v>
      </c>
      <c r="V682" s="4" t="s">
        <v>125</v>
      </c>
      <c r="W682" s="4" t="s">
        <v>2278</v>
      </c>
      <c r="X682" s="4" t="s">
        <v>2224</v>
      </c>
      <c r="Y682" s="4" t="s">
        <v>2239</v>
      </c>
      <c r="Z682" s="6">
        <v>16081.7</v>
      </c>
      <c r="AA682" s="6">
        <v>192980.4</v>
      </c>
      <c r="AB682" s="4" t="s">
        <v>2232</v>
      </c>
      <c r="AC682" s="7" t="s">
        <v>2224</v>
      </c>
    </row>
    <row r="683" spans="1:29" ht="15" customHeight="1" collapsed="1" thickBot="1" x14ac:dyDescent="0.3">
      <c r="A683" s="20" t="str">
        <f>CONCATENATE("441"," - ","MR", " ","Kgaugelo"," ", "Mohlala")</f>
        <v>441 - MR Kgaugelo Mohlala</v>
      </c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2"/>
    </row>
    <row r="684" spans="1:29" ht="15" hidden="1" customHeight="1" outlineLevel="1" thickBot="1" x14ac:dyDescent="0.3">
      <c r="A684" s="4" t="s">
        <v>3306</v>
      </c>
      <c r="B684" s="4" t="s">
        <v>94</v>
      </c>
      <c r="C684" s="4" t="s">
        <v>2220</v>
      </c>
      <c r="D684" s="5">
        <v>42962.461805555555</v>
      </c>
      <c r="E684" s="4" t="s">
        <v>2221</v>
      </c>
      <c r="F684" s="4" t="s">
        <v>2222</v>
      </c>
      <c r="G684" s="4" t="s">
        <v>2014</v>
      </c>
      <c r="H684" s="4" t="s">
        <v>950</v>
      </c>
      <c r="I684" s="4" t="s">
        <v>951</v>
      </c>
      <c r="J684" s="4" t="s">
        <v>949</v>
      </c>
      <c r="K684" s="5">
        <v>28828</v>
      </c>
      <c r="L684" s="4" t="s">
        <v>3307</v>
      </c>
      <c r="M684" s="4" t="s">
        <v>9</v>
      </c>
      <c r="N684" s="5">
        <v>39020</v>
      </c>
      <c r="O684" s="5" t="s">
        <v>2224</v>
      </c>
      <c r="P684" s="4" t="s">
        <v>2224</v>
      </c>
      <c r="Q684" s="4" t="s">
        <v>3308</v>
      </c>
      <c r="R684" s="4" t="s">
        <v>2226</v>
      </c>
      <c r="S684" s="4" t="s">
        <v>2227</v>
      </c>
      <c r="T684" s="4" t="s">
        <v>2228</v>
      </c>
      <c r="U684" s="4" t="s">
        <v>2229</v>
      </c>
      <c r="V684" s="4" t="s">
        <v>17</v>
      </c>
      <c r="W684" s="4" t="s">
        <v>2230</v>
      </c>
      <c r="X684" s="4" t="s">
        <v>2224</v>
      </c>
      <c r="Y684" s="4" t="s">
        <v>2689</v>
      </c>
      <c r="Z684" s="6">
        <v>21430.874299999999</v>
      </c>
      <c r="AA684" s="6">
        <v>257170.49</v>
      </c>
      <c r="AB684" s="4" t="s">
        <v>2232</v>
      </c>
      <c r="AC684" s="7" t="s">
        <v>2224</v>
      </c>
    </row>
    <row r="685" spans="1:29" ht="15" customHeight="1" collapsed="1" thickBot="1" x14ac:dyDescent="0.3">
      <c r="A685" s="20" t="str">
        <f>CONCATENATE("442"," - ","MR", " ","Kevin"," ", "Mohoni")</f>
        <v>442 - MR Kevin Mohoni</v>
      </c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2"/>
    </row>
    <row r="686" spans="1:29" ht="15" hidden="1" customHeight="1" outlineLevel="1" thickBot="1" x14ac:dyDescent="0.3">
      <c r="A686" s="4" t="s">
        <v>3309</v>
      </c>
      <c r="B686" s="4" t="s">
        <v>603</v>
      </c>
      <c r="C686" s="4" t="s">
        <v>2220</v>
      </c>
      <c r="D686" s="5">
        <v>42962.461805555555</v>
      </c>
      <c r="E686" s="4" t="s">
        <v>2221</v>
      </c>
      <c r="F686" s="4" t="s">
        <v>2222</v>
      </c>
      <c r="G686" s="4" t="s">
        <v>2014</v>
      </c>
      <c r="H686" s="4" t="s">
        <v>1120</v>
      </c>
      <c r="I686" s="4" t="s">
        <v>1314</v>
      </c>
      <c r="J686" s="4" t="s">
        <v>1913</v>
      </c>
      <c r="K686" s="5">
        <v>33320</v>
      </c>
      <c r="L686" s="4" t="s">
        <v>3310</v>
      </c>
      <c r="M686" s="4" t="s">
        <v>9</v>
      </c>
      <c r="N686" s="5">
        <v>42198</v>
      </c>
      <c r="O686" s="5" t="s">
        <v>2224</v>
      </c>
      <c r="P686" s="4" t="s">
        <v>2224</v>
      </c>
      <c r="Q686" s="4" t="s">
        <v>3311</v>
      </c>
      <c r="R686" s="4" t="s">
        <v>2226</v>
      </c>
      <c r="S686" s="4" t="s">
        <v>2227</v>
      </c>
      <c r="T686" s="4" t="s">
        <v>2228</v>
      </c>
      <c r="U686" s="4" t="s">
        <v>2229</v>
      </c>
      <c r="V686" s="4" t="s">
        <v>25</v>
      </c>
      <c r="W686" s="4" t="s">
        <v>2278</v>
      </c>
      <c r="X686" s="4" t="s">
        <v>2224</v>
      </c>
      <c r="Y686" s="4" t="s">
        <v>2449</v>
      </c>
      <c r="Z686" s="6">
        <v>10710.1538</v>
      </c>
      <c r="AA686" s="6">
        <v>128521.85</v>
      </c>
      <c r="AB686" s="4" t="s">
        <v>2232</v>
      </c>
      <c r="AC686" s="7" t="s">
        <v>2224</v>
      </c>
    </row>
    <row r="687" spans="1:29" ht="15" customHeight="1" collapsed="1" thickBot="1" x14ac:dyDescent="0.3">
      <c r="A687" s="20" t="str">
        <f>CONCATENATE("443"," - ","MISS", " ","BOTLHALE"," ", "Mojahi")</f>
        <v>443 - MISS BOTLHALE Mojahi</v>
      </c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2"/>
    </row>
    <row r="688" spans="1:29" ht="15" hidden="1" customHeight="1" outlineLevel="1" thickBot="1" x14ac:dyDescent="0.3">
      <c r="A688" s="4" t="s">
        <v>3312</v>
      </c>
      <c r="B688" s="4" t="s">
        <v>166</v>
      </c>
      <c r="C688" s="4" t="s">
        <v>2220</v>
      </c>
      <c r="D688" s="5">
        <v>42962.461805555555</v>
      </c>
      <c r="E688" s="4" t="s">
        <v>2221</v>
      </c>
      <c r="F688" s="4" t="s">
        <v>2222</v>
      </c>
      <c r="G688" s="4" t="s">
        <v>2234</v>
      </c>
      <c r="H688" s="4" t="s">
        <v>791</v>
      </c>
      <c r="I688" s="4" t="s">
        <v>1089</v>
      </c>
      <c r="J688" s="4" t="s">
        <v>1088</v>
      </c>
      <c r="K688" s="5">
        <v>31875</v>
      </c>
      <c r="L688" s="4" t="s">
        <v>3313</v>
      </c>
      <c r="M688" s="4" t="s">
        <v>9</v>
      </c>
      <c r="N688" s="5">
        <v>39387</v>
      </c>
      <c r="O688" s="5" t="s">
        <v>2224</v>
      </c>
      <c r="P688" s="4" t="s">
        <v>2224</v>
      </c>
      <c r="Q688" s="4" t="s">
        <v>3314</v>
      </c>
      <c r="R688" s="4" t="s">
        <v>2226</v>
      </c>
      <c r="S688" s="4" t="s">
        <v>2227</v>
      </c>
      <c r="T688" s="4" t="s">
        <v>2228</v>
      </c>
      <c r="U688" s="4" t="s">
        <v>2229</v>
      </c>
      <c r="V688" s="4" t="s">
        <v>25</v>
      </c>
      <c r="W688" s="4" t="s">
        <v>2278</v>
      </c>
      <c r="X688" s="4" t="s">
        <v>2224</v>
      </c>
      <c r="Y688" s="4" t="s">
        <v>2419</v>
      </c>
      <c r="Z688" s="6">
        <v>17112.251499999998</v>
      </c>
      <c r="AA688" s="6">
        <v>205347.02</v>
      </c>
      <c r="AB688" s="4" t="s">
        <v>2232</v>
      </c>
      <c r="AC688" s="7" t="s">
        <v>2224</v>
      </c>
    </row>
    <row r="689" spans="1:29" ht="15" customHeight="1" collapsed="1" thickBot="1" x14ac:dyDescent="0.3">
      <c r="A689" s="20" t="str">
        <f>CONCATENATE("444"," - ","MISS", " ","Zulema"," ", "Mokatsane")</f>
        <v>444 - MISS Zulema Mokatsane</v>
      </c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2"/>
    </row>
    <row r="690" spans="1:29" ht="15" hidden="1" customHeight="1" outlineLevel="1" thickBot="1" x14ac:dyDescent="0.3">
      <c r="A690" s="4" t="s">
        <v>3315</v>
      </c>
      <c r="B690" s="4" t="s">
        <v>539</v>
      </c>
      <c r="C690" s="4" t="s">
        <v>2220</v>
      </c>
      <c r="D690" s="5">
        <v>42962.549999999996</v>
      </c>
      <c r="E690" s="4" t="s">
        <v>2221</v>
      </c>
      <c r="F690" s="4" t="s">
        <v>2222</v>
      </c>
      <c r="G690" s="4" t="s">
        <v>2234</v>
      </c>
      <c r="H690" s="4" t="s">
        <v>934</v>
      </c>
      <c r="I690" s="4" t="s">
        <v>1806</v>
      </c>
      <c r="J690" s="4" t="s">
        <v>1805</v>
      </c>
      <c r="K690" s="5">
        <v>30653</v>
      </c>
      <c r="L690" s="4" t="s">
        <v>3316</v>
      </c>
      <c r="M690" s="4" t="s">
        <v>9</v>
      </c>
      <c r="N690" s="5">
        <v>42072</v>
      </c>
      <c r="O690" s="5" t="s">
        <v>2224</v>
      </c>
      <c r="P690" s="4" t="s">
        <v>2224</v>
      </c>
      <c r="Q690" s="4" t="s">
        <v>2552</v>
      </c>
      <c r="R690" s="4" t="s">
        <v>2226</v>
      </c>
      <c r="S690" s="4" t="s">
        <v>2227</v>
      </c>
      <c r="T690" s="4" t="s">
        <v>2228</v>
      </c>
      <c r="U690" s="4" t="s">
        <v>2237</v>
      </c>
      <c r="V690" s="4" t="s">
        <v>8</v>
      </c>
      <c r="W690" s="4" t="s">
        <v>2278</v>
      </c>
      <c r="X690" s="4" t="s">
        <v>2224</v>
      </c>
      <c r="Y690" s="4" t="s">
        <v>2239</v>
      </c>
      <c r="Z690" s="6">
        <v>16081.7</v>
      </c>
      <c r="AA690" s="6">
        <v>192980.4</v>
      </c>
      <c r="AB690" s="4" t="s">
        <v>2232</v>
      </c>
      <c r="AC690" s="7" t="s">
        <v>2224</v>
      </c>
    </row>
    <row r="691" spans="1:29" ht="15" customHeight="1" collapsed="1" thickBot="1" x14ac:dyDescent="0.3">
      <c r="A691" s="20" t="str">
        <f>CONCATENATE("445"," - ","MISS", " ","Keamogetswe"," ", "Mokgoetsi")</f>
        <v>445 - MISS Keamogetswe Mokgoetsi</v>
      </c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2"/>
    </row>
    <row r="692" spans="1:29" ht="15" hidden="1" customHeight="1" outlineLevel="1" thickBot="1" x14ac:dyDescent="0.3">
      <c r="A692" s="4" t="s">
        <v>3317</v>
      </c>
      <c r="B692" s="4" t="s">
        <v>121</v>
      </c>
      <c r="C692" s="4" t="s">
        <v>2220</v>
      </c>
      <c r="D692" s="5">
        <v>42962.463194444441</v>
      </c>
      <c r="E692" s="4" t="s">
        <v>2221</v>
      </c>
      <c r="F692" s="4" t="s">
        <v>2222</v>
      </c>
      <c r="G692" s="4" t="s">
        <v>2234</v>
      </c>
      <c r="H692" s="4" t="s">
        <v>1002</v>
      </c>
      <c r="I692" s="4" t="s">
        <v>1003</v>
      </c>
      <c r="J692" s="4" t="s">
        <v>1001</v>
      </c>
      <c r="K692" s="5">
        <v>28460</v>
      </c>
      <c r="L692" s="4" t="s">
        <v>3318</v>
      </c>
      <c r="M692" s="4" t="s">
        <v>9</v>
      </c>
      <c r="N692" s="5">
        <v>39057</v>
      </c>
      <c r="O692" s="5" t="s">
        <v>2224</v>
      </c>
      <c r="P692" s="4" t="s">
        <v>2224</v>
      </c>
      <c r="Q692" s="4" t="s">
        <v>3319</v>
      </c>
      <c r="R692" s="4" t="s">
        <v>2226</v>
      </c>
      <c r="S692" s="4" t="s">
        <v>2227</v>
      </c>
      <c r="T692" s="4" t="s">
        <v>2228</v>
      </c>
      <c r="U692" s="4" t="s">
        <v>2248</v>
      </c>
      <c r="V692" s="4" t="s">
        <v>122</v>
      </c>
      <c r="W692" s="4" t="s">
        <v>2249</v>
      </c>
      <c r="X692" s="4" t="s">
        <v>2224</v>
      </c>
      <c r="Y692" s="4" t="s">
        <v>2250</v>
      </c>
      <c r="Z692" s="6">
        <v>19058.400000000001</v>
      </c>
      <c r="AA692" s="6">
        <v>228700.79999999999</v>
      </c>
      <c r="AB692" s="4" t="s">
        <v>2232</v>
      </c>
      <c r="AC692" s="7" t="s">
        <v>2224</v>
      </c>
    </row>
    <row r="693" spans="1:29" ht="15" customHeight="1" collapsed="1" thickBot="1" x14ac:dyDescent="0.3">
      <c r="A693" s="20" t="str">
        <f>CONCATENATE("446"," - ","MR", " ","Thabiso"," ", "Mokhele")</f>
        <v>446 - MR Thabiso Mokhele</v>
      </c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2"/>
    </row>
    <row r="694" spans="1:29" ht="15" hidden="1" customHeight="1" outlineLevel="1" thickBot="1" x14ac:dyDescent="0.3">
      <c r="A694" s="4" t="s">
        <v>3320</v>
      </c>
      <c r="B694" s="4" t="s">
        <v>397</v>
      </c>
      <c r="C694" s="4" t="s">
        <v>2220</v>
      </c>
      <c r="D694" s="5">
        <v>42961.340277777774</v>
      </c>
      <c r="E694" s="4" t="s">
        <v>2221</v>
      </c>
      <c r="F694" s="4" t="s">
        <v>2222</v>
      </c>
      <c r="G694" s="4" t="s">
        <v>2014</v>
      </c>
      <c r="H694" s="4" t="s">
        <v>1123</v>
      </c>
      <c r="I694" s="4" t="s">
        <v>1522</v>
      </c>
      <c r="J694" s="4" t="s">
        <v>1521</v>
      </c>
      <c r="K694" s="5">
        <v>30735</v>
      </c>
      <c r="L694" s="4" t="s">
        <v>3321</v>
      </c>
      <c r="M694" s="4" t="s">
        <v>9</v>
      </c>
      <c r="N694" s="5">
        <v>41487</v>
      </c>
      <c r="O694" s="5" t="s">
        <v>2224</v>
      </c>
      <c r="P694" s="4" t="s">
        <v>2224</v>
      </c>
      <c r="Q694" s="4" t="s">
        <v>3322</v>
      </c>
      <c r="R694" s="4" t="s">
        <v>2226</v>
      </c>
      <c r="S694" s="4" t="s">
        <v>2227</v>
      </c>
      <c r="T694" s="4" t="s">
        <v>2228</v>
      </c>
      <c r="U694" s="4" t="s">
        <v>2229</v>
      </c>
      <c r="V694" s="4" t="s">
        <v>25</v>
      </c>
      <c r="W694" s="4" t="s">
        <v>2278</v>
      </c>
      <c r="X694" s="4" t="s">
        <v>2224</v>
      </c>
      <c r="Y694" s="4" t="s">
        <v>2384</v>
      </c>
      <c r="Z694" s="6">
        <v>11116.82</v>
      </c>
      <c r="AA694" s="6">
        <v>133401.84</v>
      </c>
      <c r="AB694" s="4" t="s">
        <v>2232</v>
      </c>
      <c r="AC694" s="7" t="s">
        <v>2224</v>
      </c>
    </row>
    <row r="695" spans="1:29" ht="15" customHeight="1" collapsed="1" thickBot="1" x14ac:dyDescent="0.3">
      <c r="A695" s="20" t="str">
        <f>CONCATENATE("447"," - ","MS", " ","Maureen"," ", "Moko")</f>
        <v>447 - MS Maureen Moko</v>
      </c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2"/>
    </row>
    <row r="696" spans="1:29" ht="15" hidden="1" customHeight="1" outlineLevel="1" thickBot="1" x14ac:dyDescent="0.3">
      <c r="A696" s="4" t="s">
        <v>3323</v>
      </c>
      <c r="B696" s="4" t="s">
        <v>623</v>
      </c>
      <c r="C696" s="4" t="s">
        <v>2220</v>
      </c>
      <c r="D696" s="5">
        <v>42962.461805555555</v>
      </c>
      <c r="E696" s="4" t="s">
        <v>2221</v>
      </c>
      <c r="F696" s="4" t="s">
        <v>2222</v>
      </c>
      <c r="G696" s="4" t="s">
        <v>813</v>
      </c>
      <c r="H696" s="4" t="s">
        <v>788</v>
      </c>
      <c r="I696" s="4" t="s">
        <v>1942</v>
      </c>
      <c r="J696" s="4" t="s">
        <v>1941</v>
      </c>
      <c r="K696" s="5">
        <v>33903</v>
      </c>
      <c r="L696" s="4" t="s">
        <v>3324</v>
      </c>
      <c r="M696" s="4" t="s">
        <v>9</v>
      </c>
      <c r="N696" s="5">
        <v>42278</v>
      </c>
      <c r="O696" s="5" t="s">
        <v>2224</v>
      </c>
      <c r="P696" s="4" t="s">
        <v>2224</v>
      </c>
      <c r="Q696" s="4" t="s">
        <v>3325</v>
      </c>
      <c r="R696" s="4" t="s">
        <v>2226</v>
      </c>
      <c r="S696" s="4" t="s">
        <v>2227</v>
      </c>
      <c r="T696" s="4" t="s">
        <v>2228</v>
      </c>
      <c r="U696" s="4" t="s">
        <v>2229</v>
      </c>
      <c r="V696" s="4" t="s">
        <v>25</v>
      </c>
      <c r="W696" s="4" t="s">
        <v>2278</v>
      </c>
      <c r="X696" s="4" t="s">
        <v>2224</v>
      </c>
      <c r="Y696" s="4" t="s">
        <v>2419</v>
      </c>
      <c r="Z696" s="6">
        <v>10577.9308</v>
      </c>
      <c r="AA696" s="6">
        <v>126935.17</v>
      </c>
      <c r="AB696" s="4" t="s">
        <v>2232</v>
      </c>
      <c r="AC696" s="7" t="s">
        <v>2224</v>
      </c>
    </row>
    <row r="697" spans="1:29" ht="15" customHeight="1" collapsed="1" thickBot="1" x14ac:dyDescent="0.3">
      <c r="A697" s="20" t="str">
        <f>CONCATENATE("448"," - ","MISS", " ","Mimi"," ", "Mokoa")</f>
        <v>448 - MISS Mimi Mokoa</v>
      </c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2"/>
    </row>
    <row r="698" spans="1:29" ht="15" hidden="1" customHeight="1" outlineLevel="1" thickBot="1" x14ac:dyDescent="0.3">
      <c r="A698" s="4" t="s">
        <v>3326</v>
      </c>
      <c r="B698" s="4" t="s">
        <v>407</v>
      </c>
      <c r="C698" s="4" t="s">
        <v>2220</v>
      </c>
      <c r="D698" s="5">
        <v>42962.461805555555</v>
      </c>
      <c r="E698" s="4" t="s">
        <v>2221</v>
      </c>
      <c r="F698" s="4" t="s">
        <v>2222</v>
      </c>
      <c r="G698" s="4" t="s">
        <v>2234</v>
      </c>
      <c r="H698" s="4" t="s">
        <v>1542</v>
      </c>
      <c r="I698" s="4" t="s">
        <v>1543</v>
      </c>
      <c r="J698" s="4" t="s">
        <v>1541</v>
      </c>
      <c r="K698" s="5">
        <v>31037</v>
      </c>
      <c r="L698" s="4" t="s">
        <v>3327</v>
      </c>
      <c r="M698" s="4" t="s">
        <v>9</v>
      </c>
      <c r="N698" s="5">
        <v>41554</v>
      </c>
      <c r="O698" s="5" t="s">
        <v>2224</v>
      </c>
      <c r="P698" s="4" t="s">
        <v>2224</v>
      </c>
      <c r="Q698" s="4" t="s">
        <v>3328</v>
      </c>
      <c r="R698" s="4" t="s">
        <v>2226</v>
      </c>
      <c r="S698" s="4" t="s">
        <v>2227</v>
      </c>
      <c r="T698" s="4" t="s">
        <v>2228</v>
      </c>
      <c r="U698" s="4" t="s">
        <v>2248</v>
      </c>
      <c r="V698" s="4" t="s">
        <v>299</v>
      </c>
      <c r="W698" s="4" t="s">
        <v>2230</v>
      </c>
      <c r="X698" s="4" t="s">
        <v>2224</v>
      </c>
      <c r="Y698" s="4" t="s">
        <v>2328</v>
      </c>
      <c r="Z698" s="6">
        <v>17112.251499999998</v>
      </c>
      <c r="AA698" s="6">
        <v>205347.02</v>
      </c>
      <c r="AB698" s="4" t="s">
        <v>2232</v>
      </c>
      <c r="AC698" s="7" t="s">
        <v>2224</v>
      </c>
    </row>
    <row r="699" spans="1:29" ht="15" customHeight="1" collapsed="1" thickBot="1" x14ac:dyDescent="0.3">
      <c r="A699" s="20" t="str">
        <f>CONCATENATE("449"," - ","MS", " ","Tshegofatso"," ", "Mokoaqatsa")</f>
        <v>449 - MS Tshegofatso Mokoaqatsa</v>
      </c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2"/>
    </row>
    <row r="700" spans="1:29" ht="15" hidden="1" customHeight="1" outlineLevel="1" thickBot="1" x14ac:dyDescent="0.3">
      <c r="A700" s="4" t="s">
        <v>3329</v>
      </c>
      <c r="B700" s="4" t="s">
        <v>628</v>
      </c>
      <c r="C700" s="4" t="s">
        <v>2220</v>
      </c>
      <c r="D700" s="5">
        <v>42962.461805555555</v>
      </c>
      <c r="E700" s="4" t="s">
        <v>2221</v>
      </c>
      <c r="F700" s="4" t="s">
        <v>2222</v>
      </c>
      <c r="G700" s="4" t="s">
        <v>813</v>
      </c>
      <c r="H700" s="4" t="s">
        <v>819</v>
      </c>
      <c r="I700" s="4" t="s">
        <v>1951</v>
      </c>
      <c r="J700" s="4" t="s">
        <v>1950</v>
      </c>
      <c r="K700" s="5">
        <v>34726</v>
      </c>
      <c r="L700" s="4" t="s">
        <v>3330</v>
      </c>
      <c r="M700" s="4" t="s">
        <v>9</v>
      </c>
      <c r="N700" s="5">
        <v>42309</v>
      </c>
      <c r="O700" s="5" t="s">
        <v>2224</v>
      </c>
      <c r="P700" s="4" t="s">
        <v>2224</v>
      </c>
      <c r="Q700" s="4" t="s">
        <v>3331</v>
      </c>
      <c r="R700" s="4" t="s">
        <v>2226</v>
      </c>
      <c r="S700" s="4" t="s">
        <v>2227</v>
      </c>
      <c r="T700" s="4" t="s">
        <v>2228</v>
      </c>
      <c r="U700" s="4" t="s">
        <v>2229</v>
      </c>
      <c r="V700" s="4" t="s">
        <v>25</v>
      </c>
      <c r="W700" s="4" t="s">
        <v>2278</v>
      </c>
      <c r="X700" s="4" t="s">
        <v>2224</v>
      </c>
      <c r="Y700" s="4" t="s">
        <v>2449</v>
      </c>
      <c r="Z700" s="6">
        <v>10577.9308</v>
      </c>
      <c r="AA700" s="6">
        <v>126935.17</v>
      </c>
      <c r="AB700" s="4" t="s">
        <v>2232</v>
      </c>
      <c r="AC700" s="7" t="s">
        <v>2224</v>
      </c>
    </row>
    <row r="701" spans="1:29" ht="15" customHeight="1" collapsed="1" thickBot="1" x14ac:dyDescent="0.3">
      <c r="A701" s="20" t="str">
        <f>CONCATENATE("45"," - ","MR", " ","Darryl"," ", "Barnard")</f>
        <v>45 - MR Darryl Barnard</v>
      </c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2"/>
    </row>
    <row r="702" spans="1:29" ht="15" hidden="1" customHeight="1" outlineLevel="1" thickBot="1" x14ac:dyDescent="0.3">
      <c r="A702" s="4" t="s">
        <v>3332</v>
      </c>
      <c r="B702" s="4" t="s">
        <v>583</v>
      </c>
      <c r="C702" s="4" t="s">
        <v>2220</v>
      </c>
      <c r="D702" s="5">
        <v>42962.461111111108</v>
      </c>
      <c r="E702" s="4" t="s">
        <v>2221</v>
      </c>
      <c r="F702" s="4" t="s">
        <v>2222</v>
      </c>
      <c r="G702" s="4" t="s">
        <v>2014</v>
      </c>
      <c r="H702" s="4" t="s">
        <v>1187</v>
      </c>
      <c r="I702" s="4" t="s">
        <v>1883</v>
      </c>
      <c r="J702" s="4" t="s">
        <v>897</v>
      </c>
      <c r="K702" s="5">
        <v>33716</v>
      </c>
      <c r="L702" s="4" t="s">
        <v>3333</v>
      </c>
      <c r="M702" s="4" t="s">
        <v>9</v>
      </c>
      <c r="N702" s="5">
        <v>42135</v>
      </c>
      <c r="O702" s="5" t="s">
        <v>2224</v>
      </c>
      <c r="P702" s="4" t="s">
        <v>2224</v>
      </c>
      <c r="Q702" s="4" t="s">
        <v>3334</v>
      </c>
      <c r="R702" s="4" t="s">
        <v>2226</v>
      </c>
      <c r="S702" s="4" t="s">
        <v>2227</v>
      </c>
      <c r="T702" s="4" t="s">
        <v>2228</v>
      </c>
      <c r="U702" s="4" t="s">
        <v>2229</v>
      </c>
      <c r="V702" s="4" t="s">
        <v>25</v>
      </c>
      <c r="W702" s="4" t="s">
        <v>2278</v>
      </c>
      <c r="X702" s="4" t="s">
        <v>2224</v>
      </c>
      <c r="Y702" s="4" t="s">
        <v>2380</v>
      </c>
      <c r="Z702" s="6">
        <v>10710.1538</v>
      </c>
      <c r="AA702" s="6">
        <v>128521.85</v>
      </c>
      <c r="AB702" s="4" t="s">
        <v>2232</v>
      </c>
      <c r="AC702" s="7" t="s">
        <v>2224</v>
      </c>
    </row>
    <row r="703" spans="1:29" ht="15" customHeight="1" collapsed="1" thickBot="1" x14ac:dyDescent="0.3">
      <c r="A703" s="20" t="str">
        <f>CONCATENATE("450"," - ","MISS", " ","Lebohang"," ", "Mokoena")</f>
        <v>450 - MISS Lebohang Mokoena</v>
      </c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2"/>
    </row>
    <row r="704" spans="1:29" ht="15" hidden="1" customHeight="1" outlineLevel="1" thickBot="1" x14ac:dyDescent="0.3">
      <c r="A704" s="4" t="s">
        <v>3335</v>
      </c>
      <c r="B704" s="4" t="s">
        <v>563</v>
      </c>
      <c r="C704" s="4" t="s">
        <v>2220</v>
      </c>
      <c r="D704" s="5">
        <v>42962.461805555555</v>
      </c>
      <c r="E704" s="4" t="s">
        <v>2221</v>
      </c>
      <c r="F704" s="4" t="s">
        <v>2222</v>
      </c>
      <c r="G704" s="4" t="s">
        <v>2234</v>
      </c>
      <c r="H704" s="4" t="s">
        <v>1845</v>
      </c>
      <c r="I704" s="4" t="s">
        <v>1846</v>
      </c>
      <c r="J704" s="4" t="s">
        <v>1844</v>
      </c>
      <c r="K704" s="5">
        <v>31672</v>
      </c>
      <c r="L704" s="4" t="s">
        <v>3336</v>
      </c>
      <c r="M704" s="4" t="s">
        <v>9</v>
      </c>
      <c r="N704" s="5">
        <v>42128</v>
      </c>
      <c r="O704" s="5" t="s">
        <v>2224</v>
      </c>
      <c r="P704" s="4" t="s">
        <v>2224</v>
      </c>
      <c r="Q704" s="4" t="s">
        <v>3337</v>
      </c>
      <c r="R704" s="4" t="s">
        <v>2226</v>
      </c>
      <c r="S704" s="4" t="s">
        <v>2227</v>
      </c>
      <c r="T704" s="4" t="s">
        <v>2228</v>
      </c>
      <c r="U704" s="4" t="s">
        <v>2229</v>
      </c>
      <c r="V704" s="4" t="s">
        <v>25</v>
      </c>
      <c r="W704" s="4" t="s">
        <v>2278</v>
      </c>
      <c r="X704" s="4" t="s">
        <v>2224</v>
      </c>
      <c r="Y704" s="4" t="s">
        <v>2384</v>
      </c>
      <c r="Z704" s="6">
        <v>10844.03</v>
      </c>
      <c r="AA704" s="6">
        <v>130128.36</v>
      </c>
      <c r="AB704" s="4" t="s">
        <v>2232</v>
      </c>
      <c r="AC704" s="7" t="s">
        <v>2224</v>
      </c>
    </row>
    <row r="705" spans="1:29" ht="15" customHeight="1" collapsed="1" thickBot="1" x14ac:dyDescent="0.3">
      <c r="A705" s="20" t="str">
        <f>CONCATENATE("451"," - ","MS", " ","Veronica"," ", "Mokoena")</f>
        <v>451 - MS Veronica Mokoena</v>
      </c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2"/>
    </row>
    <row r="706" spans="1:29" ht="15" hidden="1" customHeight="1" outlineLevel="1" thickBot="1" x14ac:dyDescent="0.3">
      <c r="A706" s="4" t="s">
        <v>3338</v>
      </c>
      <c r="B706" s="4" t="s">
        <v>632</v>
      </c>
      <c r="C706" s="4" t="s">
        <v>2220</v>
      </c>
      <c r="D706" s="5">
        <v>42962.549999999996</v>
      </c>
      <c r="E706" s="4" t="s">
        <v>2221</v>
      </c>
      <c r="F706" s="4" t="s">
        <v>2222</v>
      </c>
      <c r="G706" s="4" t="s">
        <v>813</v>
      </c>
      <c r="H706" s="4" t="s">
        <v>907</v>
      </c>
      <c r="I706" s="4" t="s">
        <v>1955</v>
      </c>
      <c r="J706" s="4" t="s">
        <v>1844</v>
      </c>
      <c r="K706" s="5">
        <v>34134</v>
      </c>
      <c r="L706" s="4" t="s">
        <v>3339</v>
      </c>
      <c r="M706" s="4" t="s">
        <v>9</v>
      </c>
      <c r="N706" s="5">
        <v>42303</v>
      </c>
      <c r="O706" s="5" t="s">
        <v>2224</v>
      </c>
      <c r="P706" s="4" t="s">
        <v>2224</v>
      </c>
      <c r="Q706" s="4" t="s">
        <v>3340</v>
      </c>
      <c r="R706" s="4" t="s">
        <v>2226</v>
      </c>
      <c r="S706" s="4" t="s">
        <v>2227</v>
      </c>
      <c r="T706" s="4" t="s">
        <v>2228</v>
      </c>
      <c r="U706" s="4" t="s">
        <v>2237</v>
      </c>
      <c r="V706" s="4" t="s">
        <v>8</v>
      </c>
      <c r="W706" s="4" t="s">
        <v>2278</v>
      </c>
      <c r="X706" s="4" t="s">
        <v>2224</v>
      </c>
      <c r="Y706" s="4" t="s">
        <v>2239</v>
      </c>
      <c r="Z706" s="6">
        <v>16081.7</v>
      </c>
      <c r="AA706" s="6">
        <v>192980.4</v>
      </c>
      <c r="AB706" s="4" t="s">
        <v>2232</v>
      </c>
      <c r="AC706" s="7" t="s">
        <v>2224</v>
      </c>
    </row>
    <row r="707" spans="1:29" ht="15" customHeight="1" collapsed="1" thickBot="1" x14ac:dyDescent="0.3">
      <c r="A707" s="20" t="str">
        <f>CONCATENATE("452"," - ","MISS", " ","Bontle"," ", "Mokone")</f>
        <v>452 - MISS Bontle Mokone</v>
      </c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2"/>
    </row>
    <row r="708" spans="1:29" ht="15" hidden="1" customHeight="1" outlineLevel="1" thickBot="1" x14ac:dyDescent="0.3">
      <c r="A708" s="4" t="s">
        <v>3341</v>
      </c>
      <c r="B708" s="4" t="s">
        <v>167</v>
      </c>
      <c r="C708" s="4" t="s">
        <v>2220</v>
      </c>
      <c r="D708" s="5">
        <v>42962.461805555555</v>
      </c>
      <c r="E708" s="4" t="s">
        <v>2221</v>
      </c>
      <c r="F708" s="4" t="s">
        <v>2222</v>
      </c>
      <c r="G708" s="4" t="s">
        <v>2234</v>
      </c>
      <c r="H708" s="4" t="s">
        <v>791</v>
      </c>
      <c r="I708" s="4" t="s">
        <v>1091</v>
      </c>
      <c r="J708" s="4" t="s">
        <v>1090</v>
      </c>
      <c r="K708" s="5">
        <v>30438</v>
      </c>
      <c r="L708" s="4" t="s">
        <v>3342</v>
      </c>
      <c r="M708" s="4" t="s">
        <v>9</v>
      </c>
      <c r="N708" s="5">
        <v>39387</v>
      </c>
      <c r="O708" s="5" t="s">
        <v>2224</v>
      </c>
      <c r="P708" s="4" t="s">
        <v>2224</v>
      </c>
      <c r="Q708" s="4" t="s">
        <v>3343</v>
      </c>
      <c r="R708" s="4" t="s">
        <v>2226</v>
      </c>
      <c r="S708" s="4" t="s">
        <v>2227</v>
      </c>
      <c r="T708" s="4" t="s">
        <v>2228</v>
      </c>
      <c r="U708" s="4" t="s">
        <v>2229</v>
      </c>
      <c r="V708" s="4" t="s">
        <v>17</v>
      </c>
      <c r="W708" s="4" t="s">
        <v>2230</v>
      </c>
      <c r="X708" s="4" t="s">
        <v>2224</v>
      </c>
      <c r="Y708" s="4" t="s">
        <v>2689</v>
      </c>
      <c r="Z708" s="6">
        <v>21430.874299999999</v>
      </c>
      <c r="AA708" s="6">
        <v>257170.49</v>
      </c>
      <c r="AB708" s="4" t="s">
        <v>2232</v>
      </c>
      <c r="AC708" s="7" t="s">
        <v>2224</v>
      </c>
    </row>
    <row r="709" spans="1:29" ht="15" customHeight="1" collapsed="1" thickBot="1" x14ac:dyDescent="0.3">
      <c r="A709" s="20" t="str">
        <f>CONCATENATE("454"," - ","MISS", " ","Shuwayda"," ", "Mokwena")</f>
        <v>454 - MISS Shuwayda Mokwena</v>
      </c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2"/>
    </row>
    <row r="710" spans="1:29" ht="15" hidden="1" customHeight="1" outlineLevel="1" thickBot="1" x14ac:dyDescent="0.3">
      <c r="A710" s="4" t="s">
        <v>3344</v>
      </c>
      <c r="B710" s="4" t="s">
        <v>410</v>
      </c>
      <c r="C710" s="4" t="s">
        <v>2220</v>
      </c>
      <c r="D710" s="5">
        <v>42962.461111111108</v>
      </c>
      <c r="E710" s="4" t="s">
        <v>2221</v>
      </c>
      <c r="F710" s="4" t="s">
        <v>2222</v>
      </c>
      <c r="G710" s="4" t="s">
        <v>2234</v>
      </c>
      <c r="H710" s="4" t="s">
        <v>800</v>
      </c>
      <c r="I710" s="4" t="s">
        <v>1549</v>
      </c>
      <c r="J710" s="4" t="s">
        <v>1548</v>
      </c>
      <c r="K710" s="5">
        <v>34282</v>
      </c>
      <c r="L710" s="4" t="s">
        <v>3345</v>
      </c>
      <c r="M710" s="4" t="s">
        <v>9</v>
      </c>
      <c r="N710" s="5">
        <v>41518</v>
      </c>
      <c r="O710" s="5" t="s">
        <v>2224</v>
      </c>
      <c r="P710" s="4" t="s">
        <v>2224</v>
      </c>
      <c r="Q710" s="4" t="s">
        <v>2552</v>
      </c>
      <c r="R710" s="4" t="s">
        <v>2226</v>
      </c>
      <c r="S710" s="4" t="s">
        <v>2227</v>
      </c>
      <c r="T710" s="4" t="s">
        <v>2228</v>
      </c>
      <c r="U710" s="4" t="s">
        <v>2229</v>
      </c>
      <c r="V710" s="4" t="s">
        <v>25</v>
      </c>
      <c r="W710" s="4" t="s">
        <v>2278</v>
      </c>
      <c r="X710" s="4" t="s">
        <v>2224</v>
      </c>
      <c r="Y710" s="4" t="s">
        <v>2423</v>
      </c>
      <c r="Z710" s="6">
        <v>7471.3374999999996</v>
      </c>
      <c r="AA710" s="6">
        <v>89656.05</v>
      </c>
      <c r="AB710" s="4" t="s">
        <v>2232</v>
      </c>
      <c r="AC710" s="7" t="s">
        <v>2224</v>
      </c>
    </row>
    <row r="711" spans="1:29" ht="15" customHeight="1" collapsed="1" thickBot="1" x14ac:dyDescent="0.3">
      <c r="A711" s="20" t="str">
        <f>CONCATENATE("456"," - ","MS", " ","Kedidimetse"," ", "Molefe")</f>
        <v>456 - MS Kedidimetse Molefe</v>
      </c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2"/>
    </row>
    <row r="712" spans="1:29" ht="15" hidden="1" customHeight="1" outlineLevel="1" thickBot="1" x14ac:dyDescent="0.3">
      <c r="A712" s="4" t="s">
        <v>3346</v>
      </c>
      <c r="B712" s="4" t="s">
        <v>620</v>
      </c>
      <c r="C712" s="4" t="s">
        <v>2220</v>
      </c>
      <c r="D712" s="5">
        <v>42962.549999999996</v>
      </c>
      <c r="E712" s="4" t="s">
        <v>2221</v>
      </c>
      <c r="F712" s="4" t="s">
        <v>2222</v>
      </c>
      <c r="G712" s="4" t="s">
        <v>813</v>
      </c>
      <c r="H712" s="4" t="s">
        <v>1620</v>
      </c>
      <c r="I712" s="4" t="s">
        <v>1936</v>
      </c>
      <c r="J712" s="4" t="s">
        <v>1935</v>
      </c>
      <c r="K712" s="5">
        <v>30068</v>
      </c>
      <c r="L712" s="4" t="s">
        <v>3347</v>
      </c>
      <c r="M712" s="4" t="s">
        <v>9</v>
      </c>
      <c r="N712" s="5">
        <v>42275</v>
      </c>
      <c r="O712" s="5" t="s">
        <v>2224</v>
      </c>
      <c r="P712" s="4" t="s">
        <v>2224</v>
      </c>
      <c r="Q712" s="4" t="s">
        <v>3348</v>
      </c>
      <c r="R712" s="4" t="s">
        <v>2226</v>
      </c>
      <c r="S712" s="4" t="s">
        <v>2227</v>
      </c>
      <c r="T712" s="4" t="s">
        <v>2228</v>
      </c>
      <c r="U712" s="4" t="s">
        <v>2237</v>
      </c>
      <c r="V712" s="4" t="s">
        <v>125</v>
      </c>
      <c r="W712" s="4" t="s">
        <v>2230</v>
      </c>
      <c r="X712" s="4" t="s">
        <v>2224</v>
      </c>
      <c r="Y712" s="4" t="s">
        <v>2239</v>
      </c>
      <c r="Z712" s="6">
        <v>20140.25</v>
      </c>
      <c r="AA712" s="6">
        <v>241683</v>
      </c>
      <c r="AB712" s="4" t="s">
        <v>2232</v>
      </c>
      <c r="AC712" s="7" t="s">
        <v>2224</v>
      </c>
    </row>
    <row r="713" spans="1:29" ht="15" customHeight="1" collapsed="1" thickBot="1" x14ac:dyDescent="0.3">
      <c r="A713" s="20" t="str">
        <f>CONCATENATE("458"," - ","MISS", " ","Barbara"," ", "Moleli")</f>
        <v>458 - MISS Barbara Moleli</v>
      </c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2"/>
    </row>
    <row r="714" spans="1:29" ht="15" hidden="1" customHeight="1" outlineLevel="1" thickBot="1" x14ac:dyDescent="0.3">
      <c r="A714" s="4" t="s">
        <v>3349</v>
      </c>
      <c r="B714" s="4" t="s">
        <v>641</v>
      </c>
      <c r="C714" s="4" t="s">
        <v>2220</v>
      </c>
      <c r="D714" s="5">
        <v>42962.461805555555</v>
      </c>
      <c r="E714" s="4" t="s">
        <v>2221</v>
      </c>
      <c r="F714" s="4" t="s">
        <v>2222</v>
      </c>
      <c r="G714" s="4" t="s">
        <v>2234</v>
      </c>
      <c r="H714" s="4" t="s">
        <v>791</v>
      </c>
      <c r="I714" s="4" t="s">
        <v>1968</v>
      </c>
      <c r="J714" s="4" t="s">
        <v>1967</v>
      </c>
      <c r="K714" s="5">
        <v>31253</v>
      </c>
      <c r="L714" s="4" t="s">
        <v>3350</v>
      </c>
      <c r="M714" s="4" t="s">
        <v>9</v>
      </c>
      <c r="N714" s="5">
        <v>42339</v>
      </c>
      <c r="O714" s="5" t="s">
        <v>2224</v>
      </c>
      <c r="P714" s="4" t="s">
        <v>2224</v>
      </c>
      <c r="Q714" s="4" t="s">
        <v>3351</v>
      </c>
      <c r="R714" s="4" t="s">
        <v>2226</v>
      </c>
      <c r="S714" s="4" t="s">
        <v>2227</v>
      </c>
      <c r="T714" s="4" t="s">
        <v>2228</v>
      </c>
      <c r="U714" s="4" t="s">
        <v>2229</v>
      </c>
      <c r="V714" s="4" t="s">
        <v>25</v>
      </c>
      <c r="W714" s="4" t="s">
        <v>2278</v>
      </c>
      <c r="X714" s="4" t="s">
        <v>2224</v>
      </c>
      <c r="Y714" s="4" t="s">
        <v>2449</v>
      </c>
      <c r="Z714" s="6">
        <v>10577.9308</v>
      </c>
      <c r="AA714" s="6">
        <v>126935.17</v>
      </c>
      <c r="AB714" s="4" t="s">
        <v>2232</v>
      </c>
      <c r="AC714" s="7" t="s">
        <v>2224</v>
      </c>
    </row>
    <row r="715" spans="1:29" ht="15" customHeight="1" collapsed="1" thickBot="1" x14ac:dyDescent="0.3">
      <c r="A715" s="20" t="str">
        <f>CONCATENATE("459"," - ","MISS", " ","Kati"," ", "Molokoane")</f>
        <v>459 - MISS Kati Molokoane</v>
      </c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2"/>
    </row>
    <row r="716" spans="1:29" ht="15" hidden="1" customHeight="1" outlineLevel="1" thickBot="1" x14ac:dyDescent="0.3">
      <c r="A716" s="4" t="s">
        <v>3352</v>
      </c>
      <c r="B716" s="4" t="s">
        <v>453</v>
      </c>
      <c r="C716" s="4" t="s">
        <v>2220</v>
      </c>
      <c r="D716" s="5">
        <v>42962.461805555555</v>
      </c>
      <c r="E716" s="4" t="s">
        <v>2221</v>
      </c>
      <c r="F716" s="4" t="s">
        <v>2222</v>
      </c>
      <c r="G716" s="4" t="s">
        <v>2234</v>
      </c>
      <c r="H716" s="4" t="s">
        <v>1642</v>
      </c>
      <c r="I716" s="4" t="s">
        <v>1643</v>
      </c>
      <c r="J716" s="4" t="s">
        <v>1641</v>
      </c>
      <c r="K716" s="5">
        <v>30514</v>
      </c>
      <c r="L716" s="4" t="s">
        <v>3353</v>
      </c>
      <c r="M716" s="4" t="s">
        <v>9</v>
      </c>
      <c r="N716" s="5">
        <v>41705</v>
      </c>
      <c r="O716" s="5" t="s">
        <v>2224</v>
      </c>
      <c r="P716" s="4" t="s">
        <v>2224</v>
      </c>
      <c r="Q716" s="4" t="s">
        <v>3354</v>
      </c>
      <c r="R716" s="4" t="s">
        <v>2226</v>
      </c>
      <c r="S716" s="4" t="s">
        <v>2227</v>
      </c>
      <c r="T716" s="4" t="s">
        <v>2228</v>
      </c>
      <c r="U716" s="4" t="s">
        <v>2229</v>
      </c>
      <c r="V716" s="4" t="s">
        <v>25</v>
      </c>
      <c r="W716" s="4" t="s">
        <v>2278</v>
      </c>
      <c r="X716" s="4" t="s">
        <v>2224</v>
      </c>
      <c r="Y716" s="4" t="s">
        <v>2449</v>
      </c>
      <c r="Z716" s="6">
        <v>10844.028399999999</v>
      </c>
      <c r="AA716" s="6">
        <v>130128.34</v>
      </c>
      <c r="AB716" s="4" t="s">
        <v>2232</v>
      </c>
      <c r="AC716" s="7" t="s">
        <v>2224</v>
      </c>
    </row>
    <row r="717" spans="1:29" ht="15" customHeight="1" collapsed="1" thickBot="1" x14ac:dyDescent="0.3">
      <c r="A717" s="20" t="str">
        <f>CONCATENATE("46"," - ","MRS", " ","Roxanne"," ", "Barrath")</f>
        <v>46 - MRS Roxanne Barrath</v>
      </c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2"/>
    </row>
    <row r="718" spans="1:29" ht="15" hidden="1" customHeight="1" outlineLevel="1" thickBot="1" x14ac:dyDescent="0.3">
      <c r="A718" s="4" t="s">
        <v>3355</v>
      </c>
      <c r="B718" s="4" t="s">
        <v>349</v>
      </c>
      <c r="C718" s="4" t="s">
        <v>2220</v>
      </c>
      <c r="D718" s="5">
        <v>42962.536805555552</v>
      </c>
      <c r="E718" s="4" t="s">
        <v>2221</v>
      </c>
      <c r="F718" s="4" t="s">
        <v>2222</v>
      </c>
      <c r="G718" s="4" t="s">
        <v>2280</v>
      </c>
      <c r="H718" s="4" t="s">
        <v>1436</v>
      </c>
      <c r="I718" s="4" t="s">
        <v>1437</v>
      </c>
      <c r="J718" s="4" t="s">
        <v>1435</v>
      </c>
      <c r="K718" s="5">
        <v>30698</v>
      </c>
      <c r="L718" s="4" t="s">
        <v>3356</v>
      </c>
      <c r="M718" s="4" t="s">
        <v>9</v>
      </c>
      <c r="N718" s="5">
        <v>41307</v>
      </c>
      <c r="O718" s="5" t="s">
        <v>2224</v>
      </c>
      <c r="P718" s="4" t="s">
        <v>2224</v>
      </c>
      <c r="Q718" s="4" t="s">
        <v>3357</v>
      </c>
      <c r="R718" s="4" t="s">
        <v>2226</v>
      </c>
      <c r="S718" s="4" t="s">
        <v>2227</v>
      </c>
      <c r="T718" s="4" t="s">
        <v>2228</v>
      </c>
      <c r="U718" s="4" t="s">
        <v>2237</v>
      </c>
      <c r="V718" s="4" t="s">
        <v>8</v>
      </c>
      <c r="W718" s="4" t="s">
        <v>2238</v>
      </c>
      <c r="X718" s="4" t="s">
        <v>2224</v>
      </c>
      <c r="Y718" s="4" t="s">
        <v>2239</v>
      </c>
      <c r="Z718" s="6">
        <v>16692.34</v>
      </c>
      <c r="AA718" s="6">
        <v>200308.08</v>
      </c>
      <c r="AB718" s="4" t="s">
        <v>2232</v>
      </c>
      <c r="AC718" s="7" t="s">
        <v>2224</v>
      </c>
    </row>
    <row r="719" spans="1:29" ht="15" customHeight="1" collapsed="1" thickBot="1" x14ac:dyDescent="0.3">
      <c r="A719" s="20" t="str">
        <f>CONCATENATE("460"," - ","MS", " ","Valentine"," ", "Molokomme")</f>
        <v>460 - MS Valentine Molokomme</v>
      </c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2"/>
    </row>
    <row r="720" spans="1:29" ht="15" hidden="1" customHeight="1" outlineLevel="1" thickBot="1" x14ac:dyDescent="0.3">
      <c r="A720" s="4" t="s">
        <v>3358</v>
      </c>
      <c r="B720" s="4" t="s">
        <v>670</v>
      </c>
      <c r="C720" s="4" t="s">
        <v>2220</v>
      </c>
      <c r="D720" s="5">
        <v>42962.461805555555</v>
      </c>
      <c r="E720" s="4" t="s">
        <v>2221</v>
      </c>
      <c r="F720" s="4" t="s">
        <v>2222</v>
      </c>
      <c r="G720" s="4" t="s">
        <v>813</v>
      </c>
      <c r="H720" s="4" t="s">
        <v>2011</v>
      </c>
      <c r="I720" s="4" t="s">
        <v>2012</v>
      </c>
      <c r="J720" s="4" t="s">
        <v>2010</v>
      </c>
      <c r="K720" s="5">
        <v>34824</v>
      </c>
      <c r="L720" s="4" t="s">
        <v>3359</v>
      </c>
      <c r="M720" s="4" t="s">
        <v>9</v>
      </c>
      <c r="N720" s="5">
        <v>42461</v>
      </c>
      <c r="O720" s="5" t="s">
        <v>2224</v>
      </c>
      <c r="P720" s="4" t="s">
        <v>2224</v>
      </c>
      <c r="Q720" s="4" t="s">
        <v>3360</v>
      </c>
      <c r="R720" s="4" t="s">
        <v>2226</v>
      </c>
      <c r="S720" s="4" t="s">
        <v>2227</v>
      </c>
      <c r="T720" s="4" t="s">
        <v>2228</v>
      </c>
      <c r="U720" s="4" t="s">
        <v>2229</v>
      </c>
      <c r="V720" s="4" t="s">
        <v>25</v>
      </c>
      <c r="W720" s="4" t="s">
        <v>2278</v>
      </c>
      <c r="X720" s="4" t="s">
        <v>2224</v>
      </c>
      <c r="Y720" s="4" t="s">
        <v>2384</v>
      </c>
      <c r="Z720" s="6">
        <v>10710.15</v>
      </c>
      <c r="AA720" s="6">
        <v>128521.8</v>
      </c>
      <c r="AB720" s="4" t="s">
        <v>2232</v>
      </c>
      <c r="AC720" s="7" t="s">
        <v>2224</v>
      </c>
    </row>
    <row r="721" spans="1:29" ht="15" customHeight="1" collapsed="1" thickBot="1" x14ac:dyDescent="0.3">
      <c r="A721" s="20" t="str">
        <f>CONCATENATE("461"," - ","MR", " ","Zandisile"," ", "Molosi")</f>
        <v>461 - MR Zandisile Molosi</v>
      </c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2"/>
    </row>
    <row r="722" spans="1:29" ht="15" hidden="1" customHeight="1" outlineLevel="1" thickBot="1" x14ac:dyDescent="0.3">
      <c r="A722" s="4" t="s">
        <v>3361</v>
      </c>
      <c r="B722" s="4" t="s">
        <v>409</v>
      </c>
      <c r="C722" s="4" t="s">
        <v>2220</v>
      </c>
      <c r="D722" s="5">
        <v>42962.461111111108</v>
      </c>
      <c r="E722" s="4" t="s">
        <v>2221</v>
      </c>
      <c r="F722" s="4" t="s">
        <v>2222</v>
      </c>
      <c r="G722" s="4" t="s">
        <v>2014</v>
      </c>
      <c r="H722" s="4" t="s">
        <v>934</v>
      </c>
      <c r="I722" s="4" t="s">
        <v>1547</v>
      </c>
      <c r="J722" s="4" t="s">
        <v>1546</v>
      </c>
      <c r="K722" s="5">
        <v>27219</v>
      </c>
      <c r="L722" s="4" t="s">
        <v>3362</v>
      </c>
      <c r="M722" s="4" t="s">
        <v>9</v>
      </c>
      <c r="N722" s="5">
        <v>41518</v>
      </c>
      <c r="O722" s="5" t="s">
        <v>2224</v>
      </c>
      <c r="P722" s="4" t="s">
        <v>2224</v>
      </c>
      <c r="Q722" s="4" t="s">
        <v>3363</v>
      </c>
      <c r="R722" s="4" t="s">
        <v>2226</v>
      </c>
      <c r="S722" s="4" t="s">
        <v>2227</v>
      </c>
      <c r="T722" s="4" t="s">
        <v>2228</v>
      </c>
      <c r="U722" s="4" t="s">
        <v>2229</v>
      </c>
      <c r="V722" s="4" t="s">
        <v>25</v>
      </c>
      <c r="W722" s="4" t="s">
        <v>2278</v>
      </c>
      <c r="X722" s="4" t="s">
        <v>2224</v>
      </c>
      <c r="Y722" s="4" t="s">
        <v>2380</v>
      </c>
      <c r="Z722" s="6">
        <v>10710.1432</v>
      </c>
      <c r="AA722" s="6">
        <v>128521.72</v>
      </c>
      <c r="AB722" s="4" t="s">
        <v>2232</v>
      </c>
      <c r="AC722" s="7" t="s">
        <v>2224</v>
      </c>
    </row>
    <row r="723" spans="1:29" ht="15" customHeight="1" collapsed="1" thickBot="1" x14ac:dyDescent="0.3">
      <c r="A723" s="20" t="str">
        <f>CONCATENATE("462"," - ","MISS", " ","Cebisa"," ", "Momoyi")</f>
        <v>462 - MISS Cebisa Momoyi</v>
      </c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2"/>
    </row>
    <row r="724" spans="1:29" ht="15" hidden="1" customHeight="1" outlineLevel="1" thickBot="1" x14ac:dyDescent="0.3">
      <c r="A724" s="4" t="s">
        <v>3364</v>
      </c>
      <c r="B724" s="4" t="s">
        <v>402</v>
      </c>
      <c r="C724" s="4" t="s">
        <v>2220</v>
      </c>
      <c r="D724" s="5">
        <v>42962.461805555555</v>
      </c>
      <c r="E724" s="4" t="s">
        <v>2221</v>
      </c>
      <c r="F724" s="4" t="s">
        <v>2222</v>
      </c>
      <c r="G724" s="4" t="s">
        <v>2234</v>
      </c>
      <c r="H724" s="4" t="s">
        <v>1529</v>
      </c>
      <c r="I724" s="4" t="s">
        <v>1530</v>
      </c>
      <c r="J724" s="4" t="s">
        <v>1528</v>
      </c>
      <c r="K724" s="5">
        <v>31706</v>
      </c>
      <c r="L724" s="4" t="s">
        <v>3365</v>
      </c>
      <c r="M724" s="4" t="s">
        <v>9</v>
      </c>
      <c r="N724" s="5">
        <v>41487</v>
      </c>
      <c r="O724" s="5" t="s">
        <v>2224</v>
      </c>
      <c r="P724" s="4" t="s">
        <v>2224</v>
      </c>
      <c r="Q724" s="4" t="s">
        <v>3366</v>
      </c>
      <c r="R724" s="4" t="s">
        <v>2226</v>
      </c>
      <c r="S724" s="4" t="s">
        <v>2227</v>
      </c>
      <c r="T724" s="4" t="s">
        <v>2228</v>
      </c>
      <c r="U724" s="4" t="s">
        <v>2229</v>
      </c>
      <c r="V724" s="4" t="s">
        <v>25</v>
      </c>
      <c r="W724" s="4" t="s">
        <v>2278</v>
      </c>
      <c r="X724" s="4" t="s">
        <v>2224</v>
      </c>
      <c r="Y724" s="4" t="s">
        <v>2568</v>
      </c>
      <c r="Z724" s="6">
        <v>10710.1432</v>
      </c>
      <c r="AA724" s="6">
        <v>128521.72</v>
      </c>
      <c r="AB724" s="4" t="s">
        <v>2232</v>
      </c>
      <c r="AC724" s="7" t="s">
        <v>2224</v>
      </c>
    </row>
    <row r="725" spans="1:29" ht="15" customHeight="1" collapsed="1" thickBot="1" x14ac:dyDescent="0.3">
      <c r="A725" s="20" t="str">
        <f>CONCATENATE("463"," - ","MISS", " ","Leticia"," ", "Monareng")</f>
        <v>463 - MISS Leticia Monareng</v>
      </c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2"/>
    </row>
    <row r="726" spans="1:29" ht="15" hidden="1" customHeight="1" outlineLevel="1" thickBot="1" x14ac:dyDescent="0.3">
      <c r="A726" s="4" t="s">
        <v>3367</v>
      </c>
      <c r="B726" s="4" t="s">
        <v>406</v>
      </c>
      <c r="C726" s="4" t="s">
        <v>2220</v>
      </c>
      <c r="D726" s="5">
        <v>42962.461805555555</v>
      </c>
      <c r="E726" s="4" t="s">
        <v>2221</v>
      </c>
      <c r="F726" s="4" t="s">
        <v>2222</v>
      </c>
      <c r="G726" s="4" t="s">
        <v>2234</v>
      </c>
      <c r="H726" s="4" t="s">
        <v>1539</v>
      </c>
      <c r="I726" s="4" t="s">
        <v>1540</v>
      </c>
      <c r="J726" s="4" t="s">
        <v>1538</v>
      </c>
      <c r="K726" s="5">
        <v>31700</v>
      </c>
      <c r="L726" s="4" t="s">
        <v>3368</v>
      </c>
      <c r="M726" s="4" t="s">
        <v>9</v>
      </c>
      <c r="N726" s="5">
        <v>41508</v>
      </c>
      <c r="O726" s="5" t="s">
        <v>2224</v>
      </c>
      <c r="P726" s="4" t="s">
        <v>2224</v>
      </c>
      <c r="Q726" s="4" t="s">
        <v>3369</v>
      </c>
      <c r="R726" s="4" t="s">
        <v>2226</v>
      </c>
      <c r="S726" s="4" t="s">
        <v>2227</v>
      </c>
      <c r="T726" s="4" t="s">
        <v>2228</v>
      </c>
      <c r="U726" s="4" t="s">
        <v>2229</v>
      </c>
      <c r="V726" s="4" t="s">
        <v>25</v>
      </c>
      <c r="W726" s="4" t="s">
        <v>2278</v>
      </c>
      <c r="X726" s="4" t="s">
        <v>2224</v>
      </c>
      <c r="Y726" s="4" t="s">
        <v>2449</v>
      </c>
      <c r="Z726" s="6">
        <v>10710.1432</v>
      </c>
      <c r="AA726" s="6">
        <v>128521.72</v>
      </c>
      <c r="AB726" s="4" t="s">
        <v>2232</v>
      </c>
      <c r="AC726" s="7" t="s">
        <v>2224</v>
      </c>
    </row>
    <row r="727" spans="1:29" ht="15" customHeight="1" collapsed="1" thickBot="1" x14ac:dyDescent="0.3">
      <c r="A727" s="20" t="str">
        <f>CONCATENATE("464"," - ","MISS", " ","Jo-Anne"," ", "Moosa")</f>
        <v>464 - MISS Jo-Anne Moosa</v>
      </c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2"/>
    </row>
    <row r="728" spans="1:29" ht="15" hidden="1" customHeight="1" outlineLevel="1" thickBot="1" x14ac:dyDescent="0.3">
      <c r="A728" s="4" t="s">
        <v>3370</v>
      </c>
      <c r="B728" s="4" t="s">
        <v>65</v>
      </c>
      <c r="C728" s="4" t="s">
        <v>2220</v>
      </c>
      <c r="D728" s="5">
        <v>42962.461805555555</v>
      </c>
      <c r="E728" s="4" t="s">
        <v>2221</v>
      </c>
      <c r="F728" s="4" t="s">
        <v>2222</v>
      </c>
      <c r="G728" s="4" t="s">
        <v>2234</v>
      </c>
      <c r="H728" s="4" t="s">
        <v>888</v>
      </c>
      <c r="I728" s="4" t="s">
        <v>891</v>
      </c>
      <c r="J728" s="4" t="s">
        <v>890</v>
      </c>
      <c r="K728" s="5">
        <v>28146</v>
      </c>
      <c r="L728" s="4" t="s">
        <v>3371</v>
      </c>
      <c r="M728" s="4" t="s">
        <v>9</v>
      </c>
      <c r="N728" s="5">
        <v>38999</v>
      </c>
      <c r="O728" s="5" t="s">
        <v>2224</v>
      </c>
      <c r="P728" s="4" t="s">
        <v>2224</v>
      </c>
      <c r="Q728" s="4" t="s">
        <v>3372</v>
      </c>
      <c r="R728" s="4" t="s">
        <v>2226</v>
      </c>
      <c r="S728" s="4" t="s">
        <v>2227</v>
      </c>
      <c r="T728" s="4" t="s">
        <v>2228</v>
      </c>
      <c r="U728" s="4" t="s">
        <v>2229</v>
      </c>
      <c r="V728" s="4" t="s">
        <v>17</v>
      </c>
      <c r="W728" s="4" t="s">
        <v>2230</v>
      </c>
      <c r="X728" s="4" t="s">
        <v>2224</v>
      </c>
      <c r="Y728" s="4" t="s">
        <v>2231</v>
      </c>
      <c r="Z728" s="6">
        <v>21430.874299999999</v>
      </c>
      <c r="AA728" s="6">
        <v>257170.49</v>
      </c>
      <c r="AB728" s="4" t="s">
        <v>2232</v>
      </c>
      <c r="AC728" s="7" t="s">
        <v>2224</v>
      </c>
    </row>
    <row r="729" spans="1:29" ht="15" customHeight="1" collapsed="1" thickBot="1" x14ac:dyDescent="0.3">
      <c r="A729" s="20" t="str">
        <f>CONCATENATE("465"," - ","MISS", " ","Sellinah"," ", "Morapedi")</f>
        <v>465 - MISS Sellinah Morapedi</v>
      </c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2"/>
    </row>
    <row r="730" spans="1:29" ht="15" hidden="1" customHeight="1" outlineLevel="1" thickBot="1" x14ac:dyDescent="0.3">
      <c r="A730" s="4" t="s">
        <v>3373</v>
      </c>
      <c r="B730" s="4" t="s">
        <v>59</v>
      </c>
      <c r="C730" s="4" t="s">
        <v>2220</v>
      </c>
      <c r="D730" s="5">
        <v>42961.338194444441</v>
      </c>
      <c r="E730" s="4" t="s">
        <v>2221</v>
      </c>
      <c r="F730" s="4" t="s">
        <v>2222</v>
      </c>
      <c r="G730" s="4" t="s">
        <v>2234</v>
      </c>
      <c r="H730" s="4" t="s">
        <v>800</v>
      </c>
      <c r="I730" s="4" t="s">
        <v>876</v>
      </c>
      <c r="J730" s="4" t="s">
        <v>875</v>
      </c>
      <c r="K730" s="5">
        <v>29528</v>
      </c>
      <c r="L730" s="4" t="s">
        <v>3374</v>
      </c>
      <c r="M730" s="4" t="s">
        <v>9</v>
      </c>
      <c r="N730" s="5">
        <v>38992</v>
      </c>
      <c r="O730" s="5" t="s">
        <v>2224</v>
      </c>
      <c r="P730" s="4" t="s">
        <v>2224</v>
      </c>
      <c r="Q730" s="4" t="s">
        <v>3375</v>
      </c>
      <c r="R730" s="4" t="s">
        <v>2226</v>
      </c>
      <c r="S730" s="4" t="s">
        <v>2227</v>
      </c>
      <c r="T730" s="4" t="s">
        <v>2228</v>
      </c>
      <c r="U730" s="4" t="s">
        <v>2229</v>
      </c>
      <c r="V730" s="4" t="s">
        <v>25</v>
      </c>
      <c r="W730" s="4" t="s">
        <v>2278</v>
      </c>
      <c r="X730" s="4" t="s">
        <v>2224</v>
      </c>
      <c r="Y730" s="4" t="s">
        <v>2384</v>
      </c>
      <c r="Z730" s="6">
        <v>17112.25</v>
      </c>
      <c r="AA730" s="6">
        <v>205347</v>
      </c>
      <c r="AB730" s="4" t="s">
        <v>2232</v>
      </c>
      <c r="AC730" s="7" t="s">
        <v>2224</v>
      </c>
    </row>
    <row r="731" spans="1:29" ht="15" customHeight="1" collapsed="1" thickBot="1" x14ac:dyDescent="0.3">
      <c r="A731" s="20" t="str">
        <f>CONCATENATE("466"," - ","MR", " ","Tshepo"," ", "Morobela")</f>
        <v>466 - MR Tshepo Morobela</v>
      </c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2"/>
    </row>
    <row r="732" spans="1:29" ht="15" hidden="1" customHeight="1" outlineLevel="1" thickBot="1" x14ac:dyDescent="0.3">
      <c r="A732" s="4" t="s">
        <v>3376</v>
      </c>
      <c r="B732" s="4" t="s">
        <v>604</v>
      </c>
      <c r="C732" s="4" t="s">
        <v>2220</v>
      </c>
      <c r="D732" s="5">
        <v>42962.461111111108</v>
      </c>
      <c r="E732" s="4" t="s">
        <v>2221</v>
      </c>
      <c r="F732" s="4" t="s">
        <v>2222</v>
      </c>
      <c r="G732" s="4" t="s">
        <v>2014</v>
      </c>
      <c r="H732" s="4" t="s">
        <v>819</v>
      </c>
      <c r="I732" s="4" t="s">
        <v>852</v>
      </c>
      <c r="J732" s="4" t="s">
        <v>1914</v>
      </c>
      <c r="K732" s="5">
        <v>31708</v>
      </c>
      <c r="L732" s="4" t="s">
        <v>3377</v>
      </c>
      <c r="M732" s="4" t="s">
        <v>9</v>
      </c>
      <c r="N732" s="5">
        <v>42219</v>
      </c>
      <c r="O732" s="5" t="s">
        <v>2224</v>
      </c>
      <c r="P732" s="4" t="s">
        <v>2224</v>
      </c>
      <c r="Q732" s="4" t="s">
        <v>3378</v>
      </c>
      <c r="R732" s="4" t="s">
        <v>2226</v>
      </c>
      <c r="S732" s="4" t="s">
        <v>2227</v>
      </c>
      <c r="T732" s="4" t="s">
        <v>2228</v>
      </c>
      <c r="U732" s="4" t="s">
        <v>2229</v>
      </c>
      <c r="V732" s="4" t="s">
        <v>25</v>
      </c>
      <c r="W732" s="4" t="s">
        <v>2278</v>
      </c>
      <c r="X732" s="4" t="s">
        <v>2224</v>
      </c>
      <c r="Y732" s="4" t="s">
        <v>2423</v>
      </c>
      <c r="Z732" s="6">
        <v>5288.9601000000002</v>
      </c>
      <c r="AA732" s="6">
        <v>63467.519999999997</v>
      </c>
      <c r="AB732" s="4" t="s">
        <v>2232</v>
      </c>
      <c r="AC732" s="7" t="s">
        <v>2224</v>
      </c>
    </row>
    <row r="733" spans="1:29" ht="15" customHeight="1" collapsed="1" thickBot="1" x14ac:dyDescent="0.3">
      <c r="A733" s="20" t="str">
        <f>CONCATENATE("467"," - ","MISS", " ","Kwazinkosi"," ", "Morolong")</f>
        <v>467 - MISS Kwazinkosi Morolong</v>
      </c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2"/>
    </row>
    <row r="734" spans="1:29" ht="15" hidden="1" customHeight="1" outlineLevel="1" thickBot="1" x14ac:dyDescent="0.3">
      <c r="A734" s="4" t="s">
        <v>3379</v>
      </c>
      <c r="B734" s="4" t="s">
        <v>378</v>
      </c>
      <c r="C734" s="4" t="s">
        <v>2220</v>
      </c>
      <c r="D734" s="5">
        <v>42962.539583333331</v>
      </c>
      <c r="E734" s="4" t="s">
        <v>2221</v>
      </c>
      <c r="F734" s="4" t="s">
        <v>2222</v>
      </c>
      <c r="G734" s="4" t="s">
        <v>2234</v>
      </c>
      <c r="H734" s="4" t="s">
        <v>1002</v>
      </c>
      <c r="I734" s="4" t="s">
        <v>1488</v>
      </c>
      <c r="J734" s="4" t="s">
        <v>1487</v>
      </c>
      <c r="K734" s="5">
        <v>33532</v>
      </c>
      <c r="L734" s="4" t="s">
        <v>3380</v>
      </c>
      <c r="M734" s="4" t="s">
        <v>9</v>
      </c>
      <c r="N734" s="5">
        <v>41431</v>
      </c>
      <c r="O734" s="5" t="s">
        <v>2224</v>
      </c>
      <c r="P734" s="4" t="s">
        <v>2224</v>
      </c>
      <c r="Q734" s="4" t="s">
        <v>3381</v>
      </c>
      <c r="R734" s="4" t="s">
        <v>2226</v>
      </c>
      <c r="S734" s="4" t="s">
        <v>2227</v>
      </c>
      <c r="T734" s="4" t="s">
        <v>2228</v>
      </c>
      <c r="U734" s="4" t="s">
        <v>2237</v>
      </c>
      <c r="V734" s="4" t="s">
        <v>8</v>
      </c>
      <c r="W734" s="4" t="s">
        <v>2278</v>
      </c>
      <c r="X734" s="4" t="s">
        <v>2224</v>
      </c>
      <c r="Y734" s="4" t="s">
        <v>2239</v>
      </c>
      <c r="Z734" s="6">
        <v>16486.2572</v>
      </c>
      <c r="AA734" s="6">
        <v>197835.09</v>
      </c>
      <c r="AB734" s="4" t="s">
        <v>2232</v>
      </c>
      <c r="AC734" s="7" t="s">
        <v>2224</v>
      </c>
    </row>
    <row r="735" spans="1:29" ht="15" customHeight="1" collapsed="1" thickBot="1" x14ac:dyDescent="0.3">
      <c r="A735" s="20" t="str">
        <f>CONCATENATE("468"," - ","MR", " ","Kevin"," ", "Morudu")</f>
        <v>468 - MR Kevin Morudu</v>
      </c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2"/>
    </row>
    <row r="736" spans="1:29" ht="15" hidden="1" customHeight="1" outlineLevel="1" thickBot="1" x14ac:dyDescent="0.3">
      <c r="A736" s="4" t="s">
        <v>3382</v>
      </c>
      <c r="B736" s="4" t="s">
        <v>280</v>
      </c>
      <c r="C736" s="4" t="s">
        <v>2220</v>
      </c>
      <c r="D736" s="5">
        <v>42962.462500000001</v>
      </c>
      <c r="E736" s="4" t="s">
        <v>2221</v>
      </c>
      <c r="F736" s="4" t="s">
        <v>2222</v>
      </c>
      <c r="G736" s="4" t="s">
        <v>2014</v>
      </c>
      <c r="H736" s="4" t="s">
        <v>1313</v>
      </c>
      <c r="I736" s="4" t="s">
        <v>1314</v>
      </c>
      <c r="J736" s="4" t="s">
        <v>1312</v>
      </c>
      <c r="K736" s="5">
        <v>30938</v>
      </c>
      <c r="L736" s="4" t="s">
        <v>3383</v>
      </c>
      <c r="M736" s="4" t="s">
        <v>9</v>
      </c>
      <c r="N736" s="5">
        <v>40819</v>
      </c>
      <c r="O736" s="5" t="s">
        <v>2224</v>
      </c>
      <c r="P736" s="4" t="s">
        <v>2224</v>
      </c>
      <c r="Q736" s="4" t="s">
        <v>3384</v>
      </c>
      <c r="R736" s="4" t="s">
        <v>2226</v>
      </c>
      <c r="S736" s="4" t="s">
        <v>2227</v>
      </c>
      <c r="T736" s="4" t="s">
        <v>2228</v>
      </c>
      <c r="U736" s="4" t="s">
        <v>2248</v>
      </c>
      <c r="V736" s="4" t="s">
        <v>19</v>
      </c>
      <c r="W736" s="4" t="s">
        <v>2230</v>
      </c>
      <c r="X736" s="4" t="s">
        <v>2224</v>
      </c>
      <c r="Y736" s="4" t="s">
        <v>3216</v>
      </c>
      <c r="Z736" s="6">
        <v>23568.887999999999</v>
      </c>
      <c r="AA736" s="6">
        <v>282826.65999999997</v>
      </c>
      <c r="AB736" s="4" t="s">
        <v>2232</v>
      </c>
      <c r="AC736" s="7" t="s">
        <v>2224</v>
      </c>
    </row>
    <row r="737" spans="1:29" ht="15" customHeight="1" collapsed="1" thickBot="1" x14ac:dyDescent="0.3">
      <c r="A737" s="20" t="str">
        <f>CONCATENATE("469"," - ","MR", " ","TSHEDISO"," ", "MOSALA")</f>
        <v>469 - MR TSHEDISO MOSALA</v>
      </c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2"/>
    </row>
    <row r="738" spans="1:29" ht="15" hidden="1" customHeight="1" outlineLevel="1" thickBot="1" x14ac:dyDescent="0.3">
      <c r="A738" s="4" t="s">
        <v>3385</v>
      </c>
      <c r="B738" s="4" t="s">
        <v>188</v>
      </c>
      <c r="C738" s="4" t="s">
        <v>2220</v>
      </c>
      <c r="D738" s="5">
        <v>42962.461111111108</v>
      </c>
      <c r="E738" s="4" t="s">
        <v>2221</v>
      </c>
      <c r="F738" s="4" t="s">
        <v>2222</v>
      </c>
      <c r="G738" s="4" t="s">
        <v>2014</v>
      </c>
      <c r="H738" s="4" t="s">
        <v>961</v>
      </c>
      <c r="I738" s="4" t="s">
        <v>1131</v>
      </c>
      <c r="J738" s="4" t="s">
        <v>1130</v>
      </c>
      <c r="K738" s="5">
        <v>23009</v>
      </c>
      <c r="L738" s="4" t="s">
        <v>3386</v>
      </c>
      <c r="M738" s="4" t="s">
        <v>9</v>
      </c>
      <c r="N738" s="5">
        <v>39508</v>
      </c>
      <c r="O738" s="5" t="s">
        <v>2224</v>
      </c>
      <c r="P738" s="4" t="s">
        <v>2224</v>
      </c>
      <c r="Q738" s="4" t="s">
        <v>3387</v>
      </c>
      <c r="R738" s="4" t="s">
        <v>2226</v>
      </c>
      <c r="S738" s="4" t="s">
        <v>2227</v>
      </c>
      <c r="T738" s="4" t="s">
        <v>2228</v>
      </c>
      <c r="U738" s="4" t="s">
        <v>2229</v>
      </c>
      <c r="V738" s="4" t="s">
        <v>25</v>
      </c>
      <c r="W738" s="4" t="s">
        <v>2278</v>
      </c>
      <c r="X738" s="4" t="s">
        <v>2224</v>
      </c>
      <c r="Y738" s="4" t="s">
        <v>2423</v>
      </c>
      <c r="Z738" s="6">
        <v>5698.2393000000002</v>
      </c>
      <c r="AA738" s="6">
        <v>68378.87</v>
      </c>
      <c r="AB738" s="4" t="s">
        <v>2232</v>
      </c>
      <c r="AC738" s="7" t="s">
        <v>2224</v>
      </c>
    </row>
    <row r="739" spans="1:29" ht="15" customHeight="1" collapsed="1" thickBot="1" x14ac:dyDescent="0.3">
      <c r="A739" s="20" t="str">
        <f>CONCATENATE("47"," - ","MISS", " ","Nikita"," ", "Basdewo")</f>
        <v>47 - MISS Nikita Basdewo</v>
      </c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2"/>
    </row>
    <row r="740" spans="1:29" ht="15" hidden="1" customHeight="1" outlineLevel="1" thickBot="1" x14ac:dyDescent="0.3">
      <c r="A740" s="4" t="s">
        <v>3388</v>
      </c>
      <c r="B740" s="4" t="s">
        <v>265</v>
      </c>
      <c r="C740" s="4" t="s">
        <v>2220</v>
      </c>
      <c r="D740" s="5">
        <v>42962.549999999996</v>
      </c>
      <c r="E740" s="4" t="s">
        <v>2221</v>
      </c>
      <c r="F740" s="4" t="s">
        <v>2222</v>
      </c>
      <c r="G740" s="4" t="s">
        <v>2234</v>
      </c>
      <c r="H740" s="4" t="s">
        <v>797</v>
      </c>
      <c r="I740" s="4" t="s">
        <v>1285</v>
      </c>
      <c r="J740" s="4" t="s">
        <v>1284</v>
      </c>
      <c r="K740" s="5">
        <v>33733</v>
      </c>
      <c r="L740" s="4" t="s">
        <v>3389</v>
      </c>
      <c r="M740" s="4" t="s">
        <v>9</v>
      </c>
      <c r="N740" s="5">
        <v>40639</v>
      </c>
      <c r="O740" s="5" t="s">
        <v>2224</v>
      </c>
      <c r="P740" s="4" t="s">
        <v>2224</v>
      </c>
      <c r="Q740" s="4" t="s">
        <v>3390</v>
      </c>
      <c r="R740" s="4" t="s">
        <v>2226</v>
      </c>
      <c r="S740" s="4" t="s">
        <v>2227</v>
      </c>
      <c r="T740" s="4" t="s">
        <v>2228</v>
      </c>
      <c r="U740" s="4" t="s">
        <v>2237</v>
      </c>
      <c r="V740" s="4" t="s">
        <v>125</v>
      </c>
      <c r="W740" s="4" t="s">
        <v>2230</v>
      </c>
      <c r="X740" s="4" t="s">
        <v>2224</v>
      </c>
      <c r="Y740" s="4" t="s">
        <v>2239</v>
      </c>
      <c r="Z740" s="6">
        <v>21166.3014</v>
      </c>
      <c r="AA740" s="6">
        <v>253995.62</v>
      </c>
      <c r="AB740" s="4" t="s">
        <v>2232</v>
      </c>
      <c r="AC740" s="7" t="s">
        <v>2224</v>
      </c>
    </row>
    <row r="741" spans="1:29" ht="15" customHeight="1" collapsed="1" thickBot="1" x14ac:dyDescent="0.3">
      <c r="A741" s="20" t="str">
        <f>CONCATENATE("470"," - ","MISS", " ","LETTA"," ", "Mosime")</f>
        <v>470 - MISS LETTA Mosime</v>
      </c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2"/>
    </row>
    <row r="742" spans="1:29" ht="15" hidden="1" customHeight="1" outlineLevel="1" thickBot="1" x14ac:dyDescent="0.3">
      <c r="A742" s="4" t="s">
        <v>3391</v>
      </c>
      <c r="B742" s="4" t="s">
        <v>168</v>
      </c>
      <c r="C742" s="4" t="s">
        <v>2220</v>
      </c>
      <c r="D742" s="5">
        <v>42962.462500000001</v>
      </c>
      <c r="E742" s="4" t="s">
        <v>2221</v>
      </c>
      <c r="F742" s="4" t="s">
        <v>2222</v>
      </c>
      <c r="G742" s="4" t="s">
        <v>2234</v>
      </c>
      <c r="H742" s="4" t="s">
        <v>826</v>
      </c>
      <c r="I742" s="4" t="s">
        <v>1093</v>
      </c>
      <c r="J742" s="4" t="s">
        <v>1092</v>
      </c>
      <c r="K742" s="5">
        <v>29452</v>
      </c>
      <c r="L742" s="4" t="s">
        <v>3392</v>
      </c>
      <c r="M742" s="4" t="s">
        <v>9</v>
      </c>
      <c r="N742" s="5">
        <v>39387</v>
      </c>
      <c r="O742" s="5" t="s">
        <v>2224</v>
      </c>
      <c r="P742" s="4" t="s">
        <v>2224</v>
      </c>
      <c r="Q742" s="4" t="s">
        <v>3393</v>
      </c>
      <c r="R742" s="4" t="s">
        <v>2226</v>
      </c>
      <c r="S742" s="4" t="s">
        <v>2227</v>
      </c>
      <c r="T742" s="4" t="s">
        <v>2228</v>
      </c>
      <c r="U742" s="4" t="s">
        <v>2248</v>
      </c>
      <c r="V742" s="4" t="s">
        <v>25</v>
      </c>
      <c r="W742" s="4" t="s">
        <v>2278</v>
      </c>
      <c r="X742" s="4" t="s">
        <v>2224</v>
      </c>
      <c r="Y742" s="4" t="s">
        <v>2609</v>
      </c>
      <c r="Z742" s="6">
        <v>17112.251499999998</v>
      </c>
      <c r="AA742" s="6">
        <v>205347.02</v>
      </c>
      <c r="AB742" s="4" t="s">
        <v>2232</v>
      </c>
      <c r="AC742" s="7" t="s">
        <v>2224</v>
      </c>
    </row>
    <row r="743" spans="1:29" ht="15" customHeight="1" collapsed="1" thickBot="1" x14ac:dyDescent="0.3">
      <c r="A743" s="20" t="str">
        <f>CONCATENATE("471"," - ","MS", " ","Maria"," ", "")</f>
        <v xml:space="preserve">471 - MS Maria </v>
      </c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2"/>
    </row>
    <row r="744" spans="1:29" ht="15" hidden="1" customHeight="1" outlineLevel="1" thickBot="1" x14ac:dyDescent="0.3">
      <c r="A744" s="4" t="s">
        <v>3394</v>
      </c>
      <c r="B744" s="4" t="s">
        <v>455</v>
      </c>
      <c r="C744" s="4" t="s">
        <v>2220</v>
      </c>
      <c r="D744" s="5">
        <v>42962.461805555555</v>
      </c>
      <c r="E744" s="4" t="s">
        <v>2221</v>
      </c>
      <c r="F744" s="4" t="s">
        <v>2222</v>
      </c>
      <c r="G744" s="4" t="s">
        <v>813</v>
      </c>
      <c r="H744" s="4" t="s">
        <v>788</v>
      </c>
      <c r="I744" s="4" t="s">
        <v>1252</v>
      </c>
      <c r="J744" s="4" t="s">
        <v>2224</v>
      </c>
      <c r="K744" s="5">
        <v>24021</v>
      </c>
      <c r="L744" s="4" t="s">
        <v>3395</v>
      </c>
      <c r="M744" s="4" t="s">
        <v>9</v>
      </c>
      <c r="N744" s="5">
        <v>41730</v>
      </c>
      <c r="O744" s="5" t="s">
        <v>2224</v>
      </c>
      <c r="P744" s="4" t="s">
        <v>2224</v>
      </c>
      <c r="Q744" s="4" t="s">
        <v>3396</v>
      </c>
      <c r="R744" s="4" t="s">
        <v>2226</v>
      </c>
      <c r="S744" s="4" t="s">
        <v>2227</v>
      </c>
      <c r="T744" s="4" t="s">
        <v>2228</v>
      </c>
      <c r="U744" s="4" t="s">
        <v>2248</v>
      </c>
      <c r="V744" s="4" t="s">
        <v>299</v>
      </c>
      <c r="W744" s="4" t="s">
        <v>2230</v>
      </c>
      <c r="X744" s="4" t="s">
        <v>2224</v>
      </c>
      <c r="Y744" s="4" t="s">
        <v>2328</v>
      </c>
      <c r="Z744" s="6">
        <v>17112.251499999998</v>
      </c>
      <c r="AA744" s="6">
        <v>205347.02</v>
      </c>
      <c r="AB744" s="4" t="s">
        <v>2232</v>
      </c>
      <c r="AC744" s="7" t="s">
        <v>2224</v>
      </c>
    </row>
    <row r="745" spans="1:29" ht="15" customHeight="1" collapsed="1" thickBot="1" x14ac:dyDescent="0.3">
      <c r="A745" s="20" t="str">
        <f>CONCATENATE("473"," - ","MISS", " ","Martina"," ", "Mothone")</f>
        <v>473 - MISS Martina Mothone</v>
      </c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2"/>
    </row>
    <row r="746" spans="1:29" ht="15" hidden="1" customHeight="1" outlineLevel="1" thickBot="1" x14ac:dyDescent="0.3">
      <c r="A746" s="4" t="s">
        <v>3397</v>
      </c>
      <c r="B746" s="4" t="s">
        <v>567</v>
      </c>
      <c r="C746" s="4" t="s">
        <v>2220</v>
      </c>
      <c r="D746" s="5">
        <v>42962.461805555555</v>
      </c>
      <c r="E746" s="4" t="s">
        <v>2221</v>
      </c>
      <c r="F746" s="4" t="s">
        <v>2222</v>
      </c>
      <c r="G746" s="4" t="s">
        <v>2234</v>
      </c>
      <c r="H746" s="4" t="s">
        <v>1838</v>
      </c>
      <c r="I746" s="4" t="s">
        <v>1855</v>
      </c>
      <c r="J746" s="4" t="s">
        <v>1854</v>
      </c>
      <c r="K746" s="5">
        <v>31618</v>
      </c>
      <c r="L746" s="4" t="s">
        <v>3398</v>
      </c>
      <c r="M746" s="4" t="s">
        <v>9</v>
      </c>
      <c r="N746" s="5">
        <v>42128</v>
      </c>
      <c r="O746" s="5" t="s">
        <v>2224</v>
      </c>
      <c r="P746" s="4" t="s">
        <v>2224</v>
      </c>
      <c r="Q746" s="4" t="s">
        <v>3399</v>
      </c>
      <c r="R746" s="4" t="s">
        <v>2226</v>
      </c>
      <c r="S746" s="4" t="s">
        <v>2227</v>
      </c>
      <c r="T746" s="4" t="s">
        <v>2228</v>
      </c>
      <c r="U746" s="4" t="s">
        <v>2229</v>
      </c>
      <c r="V746" s="4" t="s">
        <v>25</v>
      </c>
      <c r="W746" s="4" t="s">
        <v>2278</v>
      </c>
      <c r="X746" s="4" t="s">
        <v>2224</v>
      </c>
      <c r="Y746" s="4" t="s">
        <v>2384</v>
      </c>
      <c r="Z746" s="6">
        <v>10844.03</v>
      </c>
      <c r="AA746" s="6">
        <v>130128.36</v>
      </c>
      <c r="AB746" s="4" t="s">
        <v>2232</v>
      </c>
      <c r="AC746" s="7" t="s">
        <v>2224</v>
      </c>
    </row>
    <row r="747" spans="1:29" ht="15" customHeight="1" collapsed="1" thickBot="1" x14ac:dyDescent="0.3">
      <c r="A747" s="20" t="str">
        <f>CONCATENATE("474"," - ","MISS", " ","Karabo"," ", "Motloutsi")</f>
        <v>474 - MISS Karabo Motloutsi</v>
      </c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2"/>
    </row>
    <row r="748" spans="1:29" ht="15" hidden="1" customHeight="1" outlineLevel="1" thickBot="1" x14ac:dyDescent="0.3">
      <c r="A748" s="4" t="s">
        <v>3400</v>
      </c>
      <c r="B748" s="4" t="s">
        <v>544</v>
      </c>
      <c r="C748" s="4" t="s">
        <v>2220</v>
      </c>
      <c r="D748" s="5">
        <v>42962.549999999996</v>
      </c>
      <c r="E748" s="4" t="s">
        <v>2221</v>
      </c>
      <c r="F748" s="4" t="s">
        <v>2222</v>
      </c>
      <c r="G748" s="4" t="s">
        <v>2234</v>
      </c>
      <c r="H748" s="4" t="s">
        <v>1120</v>
      </c>
      <c r="I748" s="4" t="s">
        <v>1814</v>
      </c>
      <c r="J748" s="4" t="s">
        <v>1813</v>
      </c>
      <c r="K748" s="5">
        <v>34819</v>
      </c>
      <c r="L748" s="4" t="s">
        <v>3401</v>
      </c>
      <c r="M748" s="4" t="s">
        <v>9</v>
      </c>
      <c r="N748" s="5">
        <v>42072</v>
      </c>
      <c r="O748" s="5" t="s">
        <v>2224</v>
      </c>
      <c r="P748" s="4" t="s">
        <v>2224</v>
      </c>
      <c r="Q748" s="4" t="s">
        <v>2552</v>
      </c>
      <c r="R748" s="4" t="s">
        <v>2226</v>
      </c>
      <c r="S748" s="4" t="s">
        <v>2227</v>
      </c>
      <c r="T748" s="4" t="s">
        <v>2228</v>
      </c>
      <c r="U748" s="4" t="s">
        <v>2237</v>
      </c>
      <c r="V748" s="4" t="s">
        <v>8</v>
      </c>
      <c r="W748" s="4" t="s">
        <v>2278</v>
      </c>
      <c r="X748" s="4" t="s">
        <v>2224</v>
      </c>
      <c r="Y748" s="4" t="s">
        <v>2239</v>
      </c>
      <c r="Z748" s="6">
        <v>16081.7</v>
      </c>
      <c r="AA748" s="6">
        <v>192980.4</v>
      </c>
      <c r="AB748" s="4" t="s">
        <v>2224</v>
      </c>
      <c r="AC748" s="7" t="s">
        <v>2224</v>
      </c>
    </row>
    <row r="749" spans="1:29" ht="15" customHeight="1" collapsed="1" thickBot="1" x14ac:dyDescent="0.3">
      <c r="A749" s="20" t="str">
        <f>CONCATENATE("475"," - ","MISS", " ","Cynthia"," ", "Motseki")</f>
        <v>475 - MISS Cynthia Motseki</v>
      </c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2"/>
    </row>
    <row r="750" spans="1:29" ht="15" hidden="1" customHeight="1" outlineLevel="1" thickBot="1" x14ac:dyDescent="0.3">
      <c r="A750" s="4" t="s">
        <v>3402</v>
      </c>
      <c r="B750" s="4" t="s">
        <v>228</v>
      </c>
      <c r="C750" s="4" t="s">
        <v>2220</v>
      </c>
      <c r="D750" s="5">
        <v>42962.461111111108</v>
      </c>
      <c r="E750" s="4" t="s">
        <v>2221</v>
      </c>
      <c r="F750" s="4" t="s">
        <v>2222</v>
      </c>
      <c r="G750" s="4" t="s">
        <v>2234</v>
      </c>
      <c r="H750" s="4" t="s">
        <v>1219</v>
      </c>
      <c r="I750" s="4" t="s">
        <v>967</v>
      </c>
      <c r="J750" s="4" t="s">
        <v>1218</v>
      </c>
      <c r="K750" s="5">
        <v>30821</v>
      </c>
      <c r="L750" s="4" t="s">
        <v>3403</v>
      </c>
      <c r="M750" s="4" t="s">
        <v>9</v>
      </c>
      <c r="N750" s="5">
        <v>40299</v>
      </c>
      <c r="O750" s="5" t="s">
        <v>2224</v>
      </c>
      <c r="P750" s="4" t="s">
        <v>2224</v>
      </c>
      <c r="Q750" s="4" t="s">
        <v>3404</v>
      </c>
      <c r="R750" s="4" t="s">
        <v>2226</v>
      </c>
      <c r="S750" s="4" t="s">
        <v>2227</v>
      </c>
      <c r="T750" s="4" t="s">
        <v>2228</v>
      </c>
      <c r="U750" s="4" t="s">
        <v>2229</v>
      </c>
      <c r="V750" s="4" t="s">
        <v>25</v>
      </c>
      <c r="W750" s="4" t="s">
        <v>2278</v>
      </c>
      <c r="X750" s="4" t="s">
        <v>2224</v>
      </c>
      <c r="Y750" s="4" t="s">
        <v>2321</v>
      </c>
      <c r="Z750" s="6">
        <v>17112.251499999998</v>
      </c>
      <c r="AA750" s="6">
        <v>205347.02</v>
      </c>
      <c r="AB750" s="4" t="s">
        <v>2232</v>
      </c>
      <c r="AC750" s="7" t="s">
        <v>2224</v>
      </c>
    </row>
    <row r="751" spans="1:29" ht="15" customHeight="1" collapsed="1" thickBot="1" x14ac:dyDescent="0.3">
      <c r="A751" s="20" t="str">
        <f>CONCATENATE("476"," - ","MISS", " ","Mmathabo"," ", "Motsepe")</f>
        <v>476 - MISS Mmathabo Motsepe</v>
      </c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2"/>
    </row>
    <row r="752" spans="1:29" ht="15" hidden="1" customHeight="1" outlineLevel="1" thickBot="1" x14ac:dyDescent="0.3">
      <c r="A752" s="4" t="s">
        <v>3405</v>
      </c>
      <c r="B752" s="4" t="s">
        <v>436</v>
      </c>
      <c r="C752" s="4" t="s">
        <v>2220</v>
      </c>
      <c r="D752" s="5">
        <v>42962.549999999996</v>
      </c>
      <c r="E752" s="4" t="s">
        <v>2221</v>
      </c>
      <c r="F752" s="4" t="s">
        <v>2222</v>
      </c>
      <c r="G752" s="4" t="s">
        <v>2234</v>
      </c>
      <c r="H752" s="4" t="s">
        <v>1603</v>
      </c>
      <c r="I752" s="4" t="s">
        <v>1604</v>
      </c>
      <c r="J752" s="4" t="s">
        <v>1602</v>
      </c>
      <c r="K752" s="5">
        <v>33559</v>
      </c>
      <c r="L752" s="4" t="s">
        <v>3406</v>
      </c>
      <c r="M752" s="4" t="s">
        <v>9</v>
      </c>
      <c r="N752" s="5">
        <v>41611</v>
      </c>
      <c r="O752" s="5" t="s">
        <v>2224</v>
      </c>
      <c r="P752" s="4" t="s">
        <v>2224</v>
      </c>
      <c r="Q752" s="4" t="s">
        <v>3407</v>
      </c>
      <c r="R752" s="4" t="s">
        <v>2226</v>
      </c>
      <c r="S752" s="4" t="s">
        <v>2227</v>
      </c>
      <c r="T752" s="4" t="s">
        <v>2228</v>
      </c>
      <c r="U752" s="4" t="s">
        <v>2237</v>
      </c>
      <c r="V752" s="4" t="s">
        <v>8</v>
      </c>
      <c r="W752" s="4" t="s">
        <v>2278</v>
      </c>
      <c r="X752" s="4" t="s">
        <v>2224</v>
      </c>
      <c r="Y752" s="4" t="s">
        <v>2239</v>
      </c>
      <c r="Z752" s="6">
        <v>16692.34</v>
      </c>
      <c r="AA752" s="6">
        <v>200308.08</v>
      </c>
      <c r="AB752" s="4" t="s">
        <v>2232</v>
      </c>
      <c r="AC752" s="7" t="s">
        <v>2224</v>
      </c>
    </row>
    <row r="753" spans="1:29" ht="15" customHeight="1" collapsed="1" thickBot="1" x14ac:dyDescent="0.3">
      <c r="A753" s="20" t="str">
        <f>CONCATENATE("478"," - ","MS", " ","Matshidiso"," ", "Motsoeneng")</f>
        <v>478 - MS Matshidiso Motsoeneng</v>
      </c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2"/>
    </row>
    <row r="754" spans="1:29" ht="15" hidden="1" customHeight="1" outlineLevel="1" thickBot="1" x14ac:dyDescent="0.3">
      <c r="A754" s="4" t="s">
        <v>3408</v>
      </c>
      <c r="B754" s="4" t="s">
        <v>771</v>
      </c>
      <c r="C754" s="4" t="s">
        <v>2220</v>
      </c>
      <c r="D754" s="5">
        <v>42962.549999999996</v>
      </c>
      <c r="E754" s="4" t="s">
        <v>2221</v>
      </c>
      <c r="F754" s="4" t="s">
        <v>2222</v>
      </c>
      <c r="G754" s="4" t="s">
        <v>813</v>
      </c>
      <c r="H754" s="4" t="s">
        <v>2014</v>
      </c>
      <c r="I754" s="4" t="s">
        <v>942</v>
      </c>
      <c r="J754" s="4" t="s">
        <v>2181</v>
      </c>
      <c r="K754" s="5">
        <v>34338</v>
      </c>
      <c r="L754" s="4" t="s">
        <v>3409</v>
      </c>
      <c r="M754" s="4" t="s">
        <v>9</v>
      </c>
      <c r="N754" s="5">
        <v>42887</v>
      </c>
      <c r="O754" s="5" t="s">
        <v>2224</v>
      </c>
      <c r="P754" s="4" t="s">
        <v>2224</v>
      </c>
      <c r="Q754" s="4" t="s">
        <v>3410</v>
      </c>
      <c r="R754" s="4" t="s">
        <v>2226</v>
      </c>
      <c r="S754" s="4" t="s">
        <v>2227</v>
      </c>
      <c r="T754" s="4" t="s">
        <v>2228</v>
      </c>
      <c r="U754" s="4" t="s">
        <v>2237</v>
      </c>
      <c r="V754" s="4" t="s">
        <v>8</v>
      </c>
      <c r="W754" s="4" t="s">
        <v>2238</v>
      </c>
      <c r="X754" s="4" t="s">
        <v>2224</v>
      </c>
      <c r="Y754" s="4" t="s">
        <v>2239</v>
      </c>
      <c r="Z754" s="6">
        <v>15883.16</v>
      </c>
      <c r="AA754" s="6">
        <v>190597.92</v>
      </c>
      <c r="AB754" s="4" t="s">
        <v>2224</v>
      </c>
      <c r="AC754" s="7" t="s">
        <v>2224</v>
      </c>
    </row>
    <row r="755" spans="1:29" ht="15" customHeight="1" collapsed="1" thickBot="1" x14ac:dyDescent="0.3">
      <c r="A755" s="20" t="str">
        <f>CONCATENATE("479"," - ","MRS", " ","Emre"," ", "Mousa")</f>
        <v>479 - MRS Emre Mousa</v>
      </c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2"/>
    </row>
    <row r="756" spans="1:29" ht="15" hidden="1" customHeight="1" outlineLevel="1" thickBot="1" x14ac:dyDescent="0.3">
      <c r="A756" s="4" t="s">
        <v>3411</v>
      </c>
      <c r="B756" s="4" t="s">
        <v>208</v>
      </c>
      <c r="C756" s="4" t="s">
        <v>2220</v>
      </c>
      <c r="D756" s="5">
        <v>42962.461805555555</v>
      </c>
      <c r="E756" s="4" t="s">
        <v>2221</v>
      </c>
      <c r="F756" s="4" t="s">
        <v>2222</v>
      </c>
      <c r="G756" s="4" t="s">
        <v>2280</v>
      </c>
      <c r="H756" s="4" t="s">
        <v>1171</v>
      </c>
      <c r="I756" s="4" t="s">
        <v>1172</v>
      </c>
      <c r="J756" s="4" t="s">
        <v>1170</v>
      </c>
      <c r="K756" s="5">
        <v>29679</v>
      </c>
      <c r="L756" s="4" t="s">
        <v>3412</v>
      </c>
      <c r="M756" s="4" t="s">
        <v>9</v>
      </c>
      <c r="N756" s="5">
        <v>39715</v>
      </c>
      <c r="O756" s="5" t="s">
        <v>2224</v>
      </c>
      <c r="P756" s="4" t="s">
        <v>2224</v>
      </c>
      <c r="Q756" s="4" t="s">
        <v>3413</v>
      </c>
      <c r="R756" s="4" t="s">
        <v>2226</v>
      </c>
      <c r="S756" s="4" t="s">
        <v>2227</v>
      </c>
      <c r="T756" s="4" t="s">
        <v>2228</v>
      </c>
      <c r="U756" s="4" t="s">
        <v>2229</v>
      </c>
      <c r="V756" s="4" t="s">
        <v>8</v>
      </c>
      <c r="W756" s="4" t="s">
        <v>2238</v>
      </c>
      <c r="X756" s="4" t="s">
        <v>2224</v>
      </c>
      <c r="Y756" s="4" t="s">
        <v>2384</v>
      </c>
      <c r="Z756" s="6">
        <v>17112.251499999998</v>
      </c>
      <c r="AA756" s="6">
        <v>205347.02</v>
      </c>
      <c r="AB756" s="4" t="s">
        <v>2232</v>
      </c>
      <c r="AC756" s="7" t="s">
        <v>2224</v>
      </c>
    </row>
    <row r="757" spans="1:29" ht="15" customHeight="1" collapsed="1" thickBot="1" x14ac:dyDescent="0.3">
      <c r="A757" s="20" t="str">
        <f>CONCATENATE("48"," - ","MR", " ","Andre"," ", "Basson")</f>
        <v>48 - MR Andre Basson</v>
      </c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2"/>
    </row>
    <row r="758" spans="1:29" ht="15" hidden="1" customHeight="1" outlineLevel="1" thickBot="1" x14ac:dyDescent="0.3">
      <c r="A758" s="4" t="s">
        <v>3414</v>
      </c>
      <c r="B758" s="4" t="s">
        <v>511</v>
      </c>
      <c r="C758" s="4" t="s">
        <v>2220</v>
      </c>
      <c r="D758" s="5">
        <v>42963.288194444445</v>
      </c>
      <c r="E758" s="4" t="s">
        <v>2221</v>
      </c>
      <c r="F758" s="4" t="s">
        <v>2222</v>
      </c>
      <c r="G758" s="4" t="s">
        <v>2014</v>
      </c>
      <c r="H758" s="4" t="s">
        <v>1757</v>
      </c>
      <c r="I758" s="4" t="s">
        <v>898</v>
      </c>
      <c r="J758" s="4" t="s">
        <v>1756</v>
      </c>
      <c r="K758" s="5">
        <v>31995</v>
      </c>
      <c r="L758" s="4" t="s">
        <v>3415</v>
      </c>
      <c r="M758" s="4" t="s">
        <v>9</v>
      </c>
      <c r="N758" s="5">
        <v>42088</v>
      </c>
      <c r="O758" s="5" t="s">
        <v>2224</v>
      </c>
      <c r="P758" s="4" t="s">
        <v>2224</v>
      </c>
      <c r="Q758" s="4" t="s">
        <v>3416</v>
      </c>
      <c r="R758" s="4" t="s">
        <v>2226</v>
      </c>
      <c r="S758" s="4" t="s">
        <v>2227</v>
      </c>
      <c r="T758" s="4" t="s">
        <v>2228</v>
      </c>
      <c r="U758" s="4" t="s">
        <v>2258</v>
      </c>
      <c r="V758" s="4" t="s">
        <v>257</v>
      </c>
      <c r="W758" s="4" t="s">
        <v>2249</v>
      </c>
      <c r="X758" s="4" t="s">
        <v>2224</v>
      </c>
      <c r="Y758" s="4" t="s">
        <v>2259</v>
      </c>
      <c r="Z758" s="6">
        <v>62470.321199999998</v>
      </c>
      <c r="AA758" s="6">
        <v>749643.85</v>
      </c>
      <c r="AB758" s="4" t="s">
        <v>2232</v>
      </c>
      <c r="AC758" s="7" t="s">
        <v>2224</v>
      </c>
    </row>
    <row r="759" spans="1:29" ht="15" customHeight="1" collapsed="1" thickBot="1" x14ac:dyDescent="0.3">
      <c r="A759" s="20" t="str">
        <f>CONCATENATE("480"," - ","MR", " ","Quentin"," ", "Mouton")</f>
        <v>480 - MR Quentin Mouton</v>
      </c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2"/>
    </row>
    <row r="760" spans="1:29" ht="15" hidden="1" customHeight="1" outlineLevel="1" thickBot="1" x14ac:dyDescent="0.3">
      <c r="A760" s="4" t="s">
        <v>3417</v>
      </c>
      <c r="B760" s="4" t="s">
        <v>48</v>
      </c>
      <c r="C760" s="4" t="s">
        <v>2220</v>
      </c>
      <c r="D760" s="5">
        <v>42962.462500000001</v>
      </c>
      <c r="E760" s="4" t="s">
        <v>2221</v>
      </c>
      <c r="F760" s="4" t="s">
        <v>2222</v>
      </c>
      <c r="G760" s="4" t="s">
        <v>2014</v>
      </c>
      <c r="H760" s="4" t="s">
        <v>859</v>
      </c>
      <c r="I760" s="4" t="s">
        <v>860</v>
      </c>
      <c r="J760" s="4" t="s">
        <v>858</v>
      </c>
      <c r="K760" s="5">
        <v>15963</v>
      </c>
      <c r="L760" s="4" t="s">
        <v>3418</v>
      </c>
      <c r="M760" s="4" t="s">
        <v>9</v>
      </c>
      <c r="N760" s="5">
        <v>38991</v>
      </c>
      <c r="O760" s="5" t="s">
        <v>2224</v>
      </c>
      <c r="P760" s="4" t="s">
        <v>2224</v>
      </c>
      <c r="Q760" s="4" t="s">
        <v>3419</v>
      </c>
      <c r="R760" s="4" t="s">
        <v>2226</v>
      </c>
      <c r="S760" s="4" t="s">
        <v>2227</v>
      </c>
      <c r="T760" s="4" t="s">
        <v>2228</v>
      </c>
      <c r="U760" s="4" t="s">
        <v>2248</v>
      </c>
      <c r="V760" s="4" t="s">
        <v>49</v>
      </c>
      <c r="W760" s="4" t="s">
        <v>2297</v>
      </c>
      <c r="X760" s="4" t="s">
        <v>2224</v>
      </c>
      <c r="Y760" s="4" t="s">
        <v>2298</v>
      </c>
      <c r="Z760" s="6">
        <v>173524.4</v>
      </c>
      <c r="AA760" s="6">
        <v>2082292.8</v>
      </c>
      <c r="AB760" s="4" t="s">
        <v>2232</v>
      </c>
      <c r="AC760" s="7" t="s">
        <v>2224</v>
      </c>
    </row>
    <row r="761" spans="1:29" ht="15" customHeight="1" collapsed="1" thickBot="1" x14ac:dyDescent="0.3">
      <c r="A761" s="20" t="str">
        <f>CONCATENATE("481"," - ","MISS", " ","Tsholofelo"," ", "Moyahi")</f>
        <v>481 - MISS Tsholofelo Moyahi</v>
      </c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2"/>
    </row>
    <row r="762" spans="1:29" ht="15" hidden="1" customHeight="1" outlineLevel="1" thickBot="1" x14ac:dyDescent="0.3">
      <c r="A762" s="4" t="s">
        <v>3420</v>
      </c>
      <c r="B762" s="4" t="s">
        <v>169</v>
      </c>
      <c r="C762" s="4" t="s">
        <v>2220</v>
      </c>
      <c r="D762" s="5">
        <v>42962.461805555555</v>
      </c>
      <c r="E762" s="4" t="s">
        <v>2221</v>
      </c>
      <c r="F762" s="4" t="s">
        <v>2222</v>
      </c>
      <c r="G762" s="4" t="s">
        <v>2234</v>
      </c>
      <c r="H762" s="4" t="s">
        <v>1095</v>
      </c>
      <c r="I762" s="4" t="s">
        <v>1096</v>
      </c>
      <c r="J762" s="4" t="s">
        <v>1094</v>
      </c>
      <c r="K762" s="5">
        <v>31983</v>
      </c>
      <c r="L762" s="4" t="s">
        <v>3421</v>
      </c>
      <c r="M762" s="4" t="s">
        <v>9</v>
      </c>
      <c r="N762" s="5">
        <v>39387</v>
      </c>
      <c r="O762" s="5" t="s">
        <v>2224</v>
      </c>
      <c r="P762" s="4" t="s">
        <v>2224</v>
      </c>
      <c r="Q762" s="4" t="s">
        <v>3422</v>
      </c>
      <c r="R762" s="4" t="s">
        <v>2226</v>
      </c>
      <c r="S762" s="4" t="s">
        <v>2227</v>
      </c>
      <c r="T762" s="4" t="s">
        <v>2228</v>
      </c>
      <c r="U762" s="4" t="s">
        <v>2229</v>
      </c>
      <c r="V762" s="4" t="s">
        <v>17</v>
      </c>
      <c r="W762" s="4" t="s">
        <v>2230</v>
      </c>
      <c r="X762" s="4" t="s">
        <v>2224</v>
      </c>
      <c r="Y762" s="4" t="s">
        <v>2419</v>
      </c>
      <c r="Z762" s="6">
        <v>19891.612099999998</v>
      </c>
      <c r="AA762" s="6">
        <v>238699.35</v>
      </c>
      <c r="AB762" s="4" t="s">
        <v>2232</v>
      </c>
      <c r="AC762" s="7" t="s">
        <v>2224</v>
      </c>
    </row>
    <row r="763" spans="1:29" ht="15" customHeight="1" collapsed="1" thickBot="1" x14ac:dyDescent="0.3">
      <c r="A763" s="20" t="str">
        <f>CONCATENATE("483"," - ","MS", " ","Bretlady"," ", "Moyo")</f>
        <v>483 - MS Bretlady Moyo</v>
      </c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2"/>
    </row>
    <row r="764" spans="1:29" ht="15" hidden="1" customHeight="1" outlineLevel="1" thickBot="1" x14ac:dyDescent="0.3">
      <c r="A764" s="4" t="s">
        <v>3423</v>
      </c>
      <c r="B764" s="4" t="s">
        <v>672</v>
      </c>
      <c r="C764" s="4" t="s">
        <v>2220</v>
      </c>
      <c r="D764" s="5">
        <v>42962.461805555555</v>
      </c>
      <c r="E764" s="4" t="s">
        <v>2221</v>
      </c>
      <c r="F764" s="4" t="s">
        <v>2222</v>
      </c>
      <c r="G764" s="4" t="s">
        <v>813</v>
      </c>
      <c r="H764" s="4" t="s">
        <v>791</v>
      </c>
      <c r="I764" s="4" t="s">
        <v>2017</v>
      </c>
      <c r="J764" s="4" t="s">
        <v>2016</v>
      </c>
      <c r="K764" s="5">
        <v>35400</v>
      </c>
      <c r="L764" s="4" t="s">
        <v>3424</v>
      </c>
      <c r="M764" s="4" t="s">
        <v>9</v>
      </c>
      <c r="N764" s="5">
        <v>42461</v>
      </c>
      <c r="O764" s="5" t="s">
        <v>2224</v>
      </c>
      <c r="P764" s="4" t="s">
        <v>2224</v>
      </c>
      <c r="Q764" s="4" t="s">
        <v>3425</v>
      </c>
      <c r="R764" s="4" t="s">
        <v>2226</v>
      </c>
      <c r="S764" s="4" t="s">
        <v>2227</v>
      </c>
      <c r="T764" s="4" t="s">
        <v>2228</v>
      </c>
      <c r="U764" s="4" t="s">
        <v>2229</v>
      </c>
      <c r="V764" s="4" t="s">
        <v>25</v>
      </c>
      <c r="W764" s="4" t="s">
        <v>2278</v>
      </c>
      <c r="X764" s="4" t="s">
        <v>2224</v>
      </c>
      <c r="Y764" s="4" t="s">
        <v>2384</v>
      </c>
      <c r="Z764" s="6">
        <v>10710.15</v>
      </c>
      <c r="AA764" s="6">
        <v>128521.8</v>
      </c>
      <c r="AB764" s="4" t="s">
        <v>2232</v>
      </c>
      <c r="AC764" s="7" t="s">
        <v>2224</v>
      </c>
    </row>
    <row r="765" spans="1:29" ht="15" customHeight="1" collapsed="1" thickBot="1" x14ac:dyDescent="0.3">
      <c r="A765" s="20" t="str">
        <f>CONCATENATE("484"," - ","MISS", " ","Potso"," ", "Mphunyana")</f>
        <v>484 - MISS Potso Mphunyana</v>
      </c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2"/>
    </row>
    <row r="766" spans="1:29" ht="15" hidden="1" customHeight="1" outlineLevel="1" thickBot="1" x14ac:dyDescent="0.3">
      <c r="A766" s="4" t="s">
        <v>3426</v>
      </c>
      <c r="B766" s="4" t="s">
        <v>545</v>
      </c>
      <c r="C766" s="4" t="s">
        <v>2220</v>
      </c>
      <c r="D766" s="5">
        <v>42962.549999999996</v>
      </c>
      <c r="E766" s="4" t="s">
        <v>2221</v>
      </c>
      <c r="F766" s="4" t="s">
        <v>2222</v>
      </c>
      <c r="G766" s="4" t="s">
        <v>2234</v>
      </c>
      <c r="H766" s="4" t="s">
        <v>781</v>
      </c>
      <c r="I766" s="4" t="s">
        <v>1816</v>
      </c>
      <c r="J766" s="4" t="s">
        <v>1815</v>
      </c>
      <c r="K766" s="5">
        <v>32868</v>
      </c>
      <c r="L766" s="4" t="s">
        <v>3427</v>
      </c>
      <c r="M766" s="4" t="s">
        <v>9</v>
      </c>
      <c r="N766" s="5">
        <v>42072</v>
      </c>
      <c r="O766" s="5" t="s">
        <v>2224</v>
      </c>
      <c r="P766" s="4" t="s">
        <v>2224</v>
      </c>
      <c r="Q766" s="4" t="s">
        <v>2552</v>
      </c>
      <c r="R766" s="4" t="s">
        <v>2226</v>
      </c>
      <c r="S766" s="4" t="s">
        <v>2227</v>
      </c>
      <c r="T766" s="4" t="s">
        <v>2228</v>
      </c>
      <c r="U766" s="4" t="s">
        <v>2237</v>
      </c>
      <c r="V766" s="4" t="s">
        <v>8</v>
      </c>
      <c r="W766" s="4" t="s">
        <v>2278</v>
      </c>
      <c r="X766" s="4" t="s">
        <v>2224</v>
      </c>
      <c r="Y766" s="4" t="s">
        <v>2239</v>
      </c>
      <c r="Z766" s="6">
        <v>16081.7</v>
      </c>
      <c r="AA766" s="6">
        <v>192980.4</v>
      </c>
      <c r="AB766" s="4" t="s">
        <v>2232</v>
      </c>
      <c r="AC766" s="7" t="s">
        <v>2224</v>
      </c>
    </row>
    <row r="767" spans="1:29" ht="15" customHeight="1" collapsed="1" thickBot="1" x14ac:dyDescent="0.3">
      <c r="A767" s="20" t="str">
        <f>CONCATENATE("485"," - ","MISS", " ","Mamello"," ", "Mphunyane")</f>
        <v>485 - MISS Mamello Mphunyane</v>
      </c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2"/>
    </row>
    <row r="768" spans="1:29" ht="15" hidden="1" customHeight="1" outlineLevel="1" thickBot="1" x14ac:dyDescent="0.3">
      <c r="A768" s="4" t="s">
        <v>3428</v>
      </c>
      <c r="B768" s="4" t="s">
        <v>234</v>
      </c>
      <c r="C768" s="4" t="s">
        <v>2220</v>
      </c>
      <c r="D768" s="5">
        <v>42962.550694444442</v>
      </c>
      <c r="E768" s="4" t="s">
        <v>2221</v>
      </c>
      <c r="F768" s="4" t="s">
        <v>2222</v>
      </c>
      <c r="G768" s="4" t="s">
        <v>2234</v>
      </c>
      <c r="H768" s="4" t="s">
        <v>788</v>
      </c>
      <c r="I768" s="4" t="s">
        <v>1233</v>
      </c>
      <c r="J768" s="4" t="s">
        <v>1232</v>
      </c>
      <c r="K768" s="5">
        <v>30662</v>
      </c>
      <c r="L768" s="4" t="s">
        <v>3429</v>
      </c>
      <c r="M768" s="4" t="s">
        <v>9</v>
      </c>
      <c r="N768" s="5">
        <v>40299</v>
      </c>
      <c r="O768" s="5" t="s">
        <v>2224</v>
      </c>
      <c r="P768" s="4" t="s">
        <v>2224</v>
      </c>
      <c r="Q768" s="4" t="s">
        <v>3430</v>
      </c>
      <c r="R768" s="4" t="s">
        <v>2226</v>
      </c>
      <c r="S768" s="4" t="s">
        <v>2227</v>
      </c>
      <c r="T768" s="4" t="s">
        <v>2228</v>
      </c>
      <c r="U768" s="4" t="s">
        <v>2248</v>
      </c>
      <c r="V768" s="4" t="s">
        <v>235</v>
      </c>
      <c r="W768" s="4" t="s">
        <v>2230</v>
      </c>
      <c r="X768" s="4" t="s">
        <v>2224</v>
      </c>
      <c r="Y768" s="4" t="s">
        <v>2473</v>
      </c>
      <c r="Z768" s="6">
        <v>14816.5825</v>
      </c>
      <c r="AA768" s="6">
        <v>177798.99</v>
      </c>
      <c r="AB768" s="4" t="s">
        <v>2232</v>
      </c>
      <c r="AC768" s="7" t="s">
        <v>2224</v>
      </c>
    </row>
    <row r="769" spans="1:29" ht="15" customHeight="1" collapsed="1" thickBot="1" x14ac:dyDescent="0.3">
      <c r="A769" s="20" t="str">
        <f>CONCATENATE("486"," - ","MISS", " ","Sarah"," ", "Mpye")</f>
        <v>486 - MISS Sarah Mpye</v>
      </c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2"/>
    </row>
    <row r="770" spans="1:29" ht="15" hidden="1" customHeight="1" outlineLevel="1" thickBot="1" x14ac:dyDescent="0.3">
      <c r="A770" s="4" t="s">
        <v>3431</v>
      </c>
      <c r="B770" s="4" t="s">
        <v>170</v>
      </c>
      <c r="C770" s="4" t="s">
        <v>2220</v>
      </c>
      <c r="D770" s="5">
        <v>42962.461805555555</v>
      </c>
      <c r="E770" s="4" t="s">
        <v>2221</v>
      </c>
      <c r="F770" s="4" t="s">
        <v>2222</v>
      </c>
      <c r="G770" s="4" t="s">
        <v>2234</v>
      </c>
      <c r="H770" s="4" t="s">
        <v>1098</v>
      </c>
      <c r="I770" s="4" t="s">
        <v>1099</v>
      </c>
      <c r="J770" s="4" t="s">
        <v>1097</v>
      </c>
      <c r="K770" s="5">
        <v>29608</v>
      </c>
      <c r="L770" s="4" t="s">
        <v>3432</v>
      </c>
      <c r="M770" s="4" t="s">
        <v>9</v>
      </c>
      <c r="N770" s="5">
        <v>39387</v>
      </c>
      <c r="O770" s="5" t="s">
        <v>2224</v>
      </c>
      <c r="P770" s="4" t="s">
        <v>2224</v>
      </c>
      <c r="Q770" s="4" t="s">
        <v>3433</v>
      </c>
      <c r="R770" s="4" t="s">
        <v>2226</v>
      </c>
      <c r="S770" s="4" t="s">
        <v>2227</v>
      </c>
      <c r="T770" s="4" t="s">
        <v>2228</v>
      </c>
      <c r="U770" s="4" t="s">
        <v>2229</v>
      </c>
      <c r="V770" s="4" t="s">
        <v>25</v>
      </c>
      <c r="W770" s="4" t="s">
        <v>2278</v>
      </c>
      <c r="X770" s="4" t="s">
        <v>2224</v>
      </c>
      <c r="Y770" s="4" t="s">
        <v>2419</v>
      </c>
      <c r="Z770" s="6">
        <v>17112.251499999998</v>
      </c>
      <c r="AA770" s="6">
        <v>205347.02</v>
      </c>
      <c r="AB770" s="4" t="s">
        <v>2232</v>
      </c>
      <c r="AC770" s="7" t="s">
        <v>2224</v>
      </c>
    </row>
    <row r="771" spans="1:29" ht="15" customHeight="1" collapsed="1" thickBot="1" x14ac:dyDescent="0.3">
      <c r="A771" s="20" t="str">
        <f>CONCATENATE("488"," - ","MISS", " ","Ntokozo"," ", "Msomi")</f>
        <v>488 - MISS Ntokozo Msomi</v>
      </c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2"/>
    </row>
    <row r="772" spans="1:29" ht="15" hidden="1" customHeight="1" outlineLevel="1" thickBot="1" x14ac:dyDescent="0.3">
      <c r="A772" s="4" t="s">
        <v>3434</v>
      </c>
      <c r="B772" s="4" t="s">
        <v>222</v>
      </c>
      <c r="C772" s="4" t="s">
        <v>2220</v>
      </c>
      <c r="D772" s="5">
        <v>42962.461111111108</v>
      </c>
      <c r="E772" s="4" t="s">
        <v>2221</v>
      </c>
      <c r="F772" s="4" t="s">
        <v>2222</v>
      </c>
      <c r="G772" s="4" t="s">
        <v>2234</v>
      </c>
      <c r="H772" s="4" t="s">
        <v>1203</v>
      </c>
      <c r="I772" s="4" t="s">
        <v>1204</v>
      </c>
      <c r="J772" s="4" t="s">
        <v>1202</v>
      </c>
      <c r="K772" s="5">
        <v>29310</v>
      </c>
      <c r="L772" s="4" t="s">
        <v>3435</v>
      </c>
      <c r="M772" s="4" t="s">
        <v>9</v>
      </c>
      <c r="N772" s="5">
        <v>40269</v>
      </c>
      <c r="O772" s="5" t="s">
        <v>2224</v>
      </c>
      <c r="P772" s="4" t="s">
        <v>2224</v>
      </c>
      <c r="Q772" s="4" t="s">
        <v>3436</v>
      </c>
      <c r="R772" s="4" t="s">
        <v>2226</v>
      </c>
      <c r="S772" s="4" t="s">
        <v>2227</v>
      </c>
      <c r="T772" s="4" t="s">
        <v>2228</v>
      </c>
      <c r="U772" s="4" t="s">
        <v>2229</v>
      </c>
      <c r="V772" s="4" t="s">
        <v>25</v>
      </c>
      <c r="W772" s="4" t="s">
        <v>2278</v>
      </c>
      <c r="X772" s="4" t="s">
        <v>2224</v>
      </c>
      <c r="Y772" s="4" t="s">
        <v>2568</v>
      </c>
      <c r="Z772" s="6">
        <v>17112.251499999998</v>
      </c>
      <c r="AA772" s="6">
        <v>205347.02</v>
      </c>
      <c r="AB772" s="4" t="s">
        <v>2232</v>
      </c>
      <c r="AC772" s="7" t="s">
        <v>2224</v>
      </c>
    </row>
    <row r="773" spans="1:29" ht="15" customHeight="1" collapsed="1" thickBot="1" x14ac:dyDescent="0.3">
      <c r="A773" s="20" t="str">
        <f>CONCATENATE("49"," - ","MISS", " ","Claire"," ", "Battiss")</f>
        <v>49 - MISS Claire Battiss</v>
      </c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2"/>
    </row>
    <row r="774" spans="1:29" ht="15" hidden="1" customHeight="1" outlineLevel="1" thickBot="1" x14ac:dyDescent="0.3">
      <c r="A774" s="4" t="s">
        <v>3437</v>
      </c>
      <c r="B774" s="4" t="s">
        <v>207</v>
      </c>
      <c r="C774" s="4" t="s">
        <v>2220</v>
      </c>
      <c r="D774" s="5">
        <v>42963.279861111107</v>
      </c>
      <c r="E774" s="4" t="s">
        <v>2221</v>
      </c>
      <c r="F774" s="4" t="s">
        <v>2222</v>
      </c>
      <c r="G774" s="4" t="s">
        <v>2234</v>
      </c>
      <c r="H774" s="4" t="s">
        <v>1168</v>
      </c>
      <c r="I774" s="4" t="s">
        <v>1169</v>
      </c>
      <c r="J774" s="4" t="s">
        <v>1167</v>
      </c>
      <c r="K774" s="5">
        <v>32787</v>
      </c>
      <c r="L774" s="4" t="s">
        <v>3438</v>
      </c>
      <c r="M774" s="4" t="s">
        <v>9</v>
      </c>
      <c r="N774" s="5">
        <v>39715</v>
      </c>
      <c r="O774" s="5" t="s">
        <v>2224</v>
      </c>
      <c r="P774" s="4" t="s">
        <v>2224</v>
      </c>
      <c r="Q774" s="4" t="s">
        <v>3439</v>
      </c>
      <c r="R774" s="4" t="s">
        <v>2226</v>
      </c>
      <c r="S774" s="4" t="s">
        <v>2227</v>
      </c>
      <c r="T774" s="4" t="s">
        <v>2228</v>
      </c>
      <c r="U774" s="4" t="s">
        <v>2237</v>
      </c>
      <c r="V774" s="4" t="s">
        <v>125</v>
      </c>
      <c r="W774" s="4" t="s">
        <v>2230</v>
      </c>
      <c r="X774" s="4" t="s">
        <v>2224</v>
      </c>
      <c r="Y774" s="4" t="s">
        <v>2259</v>
      </c>
      <c r="Z774" s="6">
        <v>21166.3</v>
      </c>
      <c r="AA774" s="6">
        <v>253995.6</v>
      </c>
      <c r="AB774" s="4" t="s">
        <v>2232</v>
      </c>
      <c r="AC774" s="7" t="s">
        <v>2224</v>
      </c>
    </row>
    <row r="775" spans="1:29" ht="15" customHeight="1" collapsed="1" thickBot="1" x14ac:dyDescent="0.3">
      <c r="A775" s="20" t="str">
        <f>CONCATENATE("490"," - ","MR", " ","THULANI"," ", "MTHEMBU")</f>
        <v>490 - MR THULANI MTHEMBU</v>
      </c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2"/>
    </row>
    <row r="776" spans="1:29" ht="15" hidden="1" customHeight="1" outlineLevel="1" thickBot="1" x14ac:dyDescent="0.3">
      <c r="A776" s="4" t="s">
        <v>3440</v>
      </c>
      <c r="B776" s="4" t="s">
        <v>182</v>
      </c>
      <c r="C776" s="4" t="s">
        <v>2220</v>
      </c>
      <c r="D776" s="5">
        <v>42951.397916666661</v>
      </c>
      <c r="E776" s="4" t="s">
        <v>2221</v>
      </c>
      <c r="F776" s="4" t="s">
        <v>2222</v>
      </c>
      <c r="G776" s="4" t="s">
        <v>2014</v>
      </c>
      <c r="H776" s="4" t="s">
        <v>1123</v>
      </c>
      <c r="I776" s="4" t="s">
        <v>1124</v>
      </c>
      <c r="J776" s="4" t="s">
        <v>1122</v>
      </c>
      <c r="K776" s="5">
        <v>26174</v>
      </c>
      <c r="L776" s="4" t="s">
        <v>3441</v>
      </c>
      <c r="M776" s="4" t="s">
        <v>9</v>
      </c>
      <c r="N776" s="5">
        <v>39454</v>
      </c>
      <c r="O776" s="5" t="s">
        <v>2224</v>
      </c>
      <c r="P776" s="4" t="s">
        <v>2224</v>
      </c>
      <c r="Q776" s="4" t="s">
        <v>3442</v>
      </c>
      <c r="R776" s="4" t="s">
        <v>2226</v>
      </c>
      <c r="S776" s="4" t="s">
        <v>2227</v>
      </c>
      <c r="T776" s="4" t="s">
        <v>2228</v>
      </c>
      <c r="U776" s="4" t="s">
        <v>2248</v>
      </c>
      <c r="V776" s="4" t="s">
        <v>183</v>
      </c>
      <c r="W776" s="4" t="s">
        <v>2249</v>
      </c>
      <c r="X776" s="4" t="s">
        <v>2224</v>
      </c>
      <c r="Y776" s="4" t="s">
        <v>2597</v>
      </c>
      <c r="Z776" s="6">
        <v>52212.159699999997</v>
      </c>
      <c r="AA776" s="6">
        <v>626545.92000000004</v>
      </c>
      <c r="AB776" s="4" t="s">
        <v>2232</v>
      </c>
      <c r="AC776" s="7" t="s">
        <v>2224</v>
      </c>
    </row>
    <row r="777" spans="1:29" ht="15" customHeight="1" collapsed="1" thickBot="1" x14ac:dyDescent="0.3">
      <c r="A777" s="20" t="str">
        <f>CONCATENATE("491"," - ","MISS", " ","Noluthando"," ", "Mthoba")</f>
        <v>491 - MISS Noluthando Mthoba</v>
      </c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2"/>
    </row>
    <row r="778" spans="1:29" ht="15" hidden="1" customHeight="1" outlineLevel="1" thickBot="1" x14ac:dyDescent="0.3">
      <c r="A778" s="4" t="s">
        <v>3443</v>
      </c>
      <c r="B778" s="4" t="s">
        <v>526</v>
      </c>
      <c r="C778" s="4" t="s">
        <v>2220</v>
      </c>
      <c r="D778" s="5">
        <v>42962.461805555555</v>
      </c>
      <c r="E778" s="4" t="s">
        <v>2221</v>
      </c>
      <c r="F778" s="4" t="s">
        <v>2222</v>
      </c>
      <c r="G778" s="4" t="s">
        <v>2234</v>
      </c>
      <c r="H778" s="4" t="s">
        <v>1244</v>
      </c>
      <c r="I778" s="4" t="s">
        <v>1782</v>
      </c>
      <c r="J778" s="4" t="s">
        <v>1781</v>
      </c>
      <c r="K778" s="5">
        <v>31591</v>
      </c>
      <c r="L778" s="4" t="s">
        <v>3444</v>
      </c>
      <c r="M778" s="4" t="s">
        <v>9</v>
      </c>
      <c r="N778" s="5">
        <v>42072</v>
      </c>
      <c r="O778" s="5" t="s">
        <v>2224</v>
      </c>
      <c r="P778" s="4" t="s">
        <v>2224</v>
      </c>
      <c r="Q778" s="4" t="s">
        <v>3445</v>
      </c>
      <c r="R778" s="4" t="s">
        <v>2226</v>
      </c>
      <c r="S778" s="4" t="s">
        <v>2227</v>
      </c>
      <c r="T778" s="4" t="s">
        <v>2228</v>
      </c>
      <c r="U778" s="4" t="s">
        <v>2229</v>
      </c>
      <c r="V778" s="4" t="s">
        <v>25</v>
      </c>
      <c r="W778" s="4" t="s">
        <v>2278</v>
      </c>
      <c r="X778" s="4" t="s">
        <v>2224</v>
      </c>
      <c r="Y778" s="4" t="s">
        <v>2321</v>
      </c>
      <c r="Z778" s="6">
        <v>10710.1432</v>
      </c>
      <c r="AA778" s="6">
        <v>128521.72</v>
      </c>
      <c r="AB778" s="4" t="s">
        <v>2232</v>
      </c>
      <c r="AC778" s="7" t="s">
        <v>2224</v>
      </c>
    </row>
    <row r="779" spans="1:29" ht="15" customHeight="1" collapsed="1" thickBot="1" x14ac:dyDescent="0.3">
      <c r="A779" s="20" t="str">
        <f>CONCATENATE("492"," - ","MR", " ","Sipho"," ", "Mthwana")</f>
        <v>492 - MR Sipho Mthwana</v>
      </c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2"/>
    </row>
    <row r="780" spans="1:29" ht="15" hidden="1" customHeight="1" outlineLevel="1" thickBot="1" x14ac:dyDescent="0.3">
      <c r="A780" s="4" t="s">
        <v>3446</v>
      </c>
      <c r="B780" s="4" t="s">
        <v>580</v>
      </c>
      <c r="C780" s="4" t="s">
        <v>2220</v>
      </c>
      <c r="D780" s="5">
        <v>42962.461111111108</v>
      </c>
      <c r="E780" s="4" t="s">
        <v>2221</v>
      </c>
      <c r="F780" s="4" t="s">
        <v>2222</v>
      </c>
      <c r="G780" s="4" t="s">
        <v>2014</v>
      </c>
      <c r="H780" s="4" t="s">
        <v>800</v>
      </c>
      <c r="I780" s="4" t="s">
        <v>1520</v>
      </c>
      <c r="J780" s="4" t="s">
        <v>1880</v>
      </c>
      <c r="K780" s="5">
        <v>30481</v>
      </c>
      <c r="L780" s="4" t="s">
        <v>3447</v>
      </c>
      <c r="M780" s="4" t="s">
        <v>9</v>
      </c>
      <c r="N780" s="5">
        <v>42135</v>
      </c>
      <c r="O780" s="5" t="s">
        <v>2224</v>
      </c>
      <c r="P780" s="4" t="s">
        <v>2224</v>
      </c>
      <c r="Q780" s="4" t="s">
        <v>3448</v>
      </c>
      <c r="R780" s="4" t="s">
        <v>2226</v>
      </c>
      <c r="S780" s="4" t="s">
        <v>2227</v>
      </c>
      <c r="T780" s="4" t="s">
        <v>2228</v>
      </c>
      <c r="U780" s="4" t="s">
        <v>2229</v>
      </c>
      <c r="V780" s="4" t="s">
        <v>25</v>
      </c>
      <c r="W780" s="4" t="s">
        <v>2278</v>
      </c>
      <c r="X780" s="4" t="s">
        <v>2224</v>
      </c>
      <c r="Y780" s="4" t="s">
        <v>2380</v>
      </c>
      <c r="Z780" s="6">
        <v>10710.1538</v>
      </c>
      <c r="AA780" s="6">
        <v>128521.85</v>
      </c>
      <c r="AB780" s="4" t="s">
        <v>2232</v>
      </c>
      <c r="AC780" s="7" t="s">
        <v>2224</v>
      </c>
    </row>
    <row r="781" spans="1:29" ht="15" customHeight="1" collapsed="1" thickBot="1" x14ac:dyDescent="0.3">
      <c r="A781" s="20" t="str">
        <f>CONCATENATE("493"," - ","MRS", " ","Lesego"," ", "Mtshali")</f>
        <v>493 - MRS Lesego Mtshali</v>
      </c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2"/>
    </row>
    <row r="782" spans="1:29" ht="15" hidden="1" customHeight="1" outlineLevel="1" thickBot="1" x14ac:dyDescent="0.3">
      <c r="A782" s="4" t="s">
        <v>3449</v>
      </c>
      <c r="B782" s="4" t="s">
        <v>348</v>
      </c>
      <c r="C782" s="4" t="s">
        <v>2220</v>
      </c>
      <c r="D782" s="5">
        <v>42962.549999999996</v>
      </c>
      <c r="E782" s="4" t="s">
        <v>2221</v>
      </c>
      <c r="F782" s="4" t="s">
        <v>2222</v>
      </c>
      <c r="G782" s="4" t="s">
        <v>2280</v>
      </c>
      <c r="H782" s="4" t="s">
        <v>1433</v>
      </c>
      <c r="I782" s="4" t="s">
        <v>1434</v>
      </c>
      <c r="J782" s="4" t="s">
        <v>941</v>
      </c>
      <c r="K782" s="5">
        <v>33431</v>
      </c>
      <c r="L782" s="4" t="s">
        <v>3450</v>
      </c>
      <c r="M782" s="4" t="s">
        <v>9</v>
      </c>
      <c r="N782" s="5">
        <v>41307</v>
      </c>
      <c r="O782" s="5" t="s">
        <v>2224</v>
      </c>
      <c r="P782" s="4" t="s">
        <v>2224</v>
      </c>
      <c r="Q782" s="4" t="s">
        <v>3451</v>
      </c>
      <c r="R782" s="4" t="s">
        <v>2226</v>
      </c>
      <c r="S782" s="4" t="s">
        <v>2227</v>
      </c>
      <c r="T782" s="4" t="s">
        <v>2228</v>
      </c>
      <c r="U782" s="4" t="s">
        <v>2237</v>
      </c>
      <c r="V782" s="4" t="s">
        <v>125</v>
      </c>
      <c r="W782" s="4" t="s">
        <v>2230</v>
      </c>
      <c r="X782" s="4" t="s">
        <v>2224</v>
      </c>
      <c r="Y782" s="4" t="s">
        <v>2239</v>
      </c>
      <c r="Z782" s="6">
        <v>20140.25</v>
      </c>
      <c r="AA782" s="6">
        <v>241683</v>
      </c>
      <c r="AB782" s="4" t="s">
        <v>2232</v>
      </c>
      <c r="AC782" s="7" t="s">
        <v>2224</v>
      </c>
    </row>
    <row r="783" spans="1:29" ht="15" customHeight="1" collapsed="1" thickBot="1" x14ac:dyDescent="0.3">
      <c r="A783" s="20" t="str">
        <f>CONCATENATE("494"," - ","MRS", " ","Matshidiso"," ", "Mtshali")</f>
        <v>494 - MRS Matshidiso Mtshali</v>
      </c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2"/>
    </row>
    <row r="784" spans="1:29" ht="15" hidden="1" customHeight="1" outlineLevel="1" thickBot="1" x14ac:dyDescent="0.3">
      <c r="A784" s="4" t="s">
        <v>3452</v>
      </c>
      <c r="B784" s="4" t="s">
        <v>90</v>
      </c>
      <c r="C784" s="4" t="s">
        <v>2220</v>
      </c>
      <c r="D784" s="5">
        <v>42962.462500000001</v>
      </c>
      <c r="E784" s="4" t="s">
        <v>2221</v>
      </c>
      <c r="F784" s="4" t="s">
        <v>2222</v>
      </c>
      <c r="G784" s="4" t="s">
        <v>2280</v>
      </c>
      <c r="H784" s="4" t="s">
        <v>788</v>
      </c>
      <c r="I784" s="4" t="s">
        <v>942</v>
      </c>
      <c r="J784" s="4" t="s">
        <v>941</v>
      </c>
      <c r="K784" s="5">
        <v>30092</v>
      </c>
      <c r="L784" s="4" t="s">
        <v>3453</v>
      </c>
      <c r="M784" s="4" t="s">
        <v>9</v>
      </c>
      <c r="N784" s="5">
        <v>39020</v>
      </c>
      <c r="O784" s="5" t="s">
        <v>2224</v>
      </c>
      <c r="P784" s="4" t="s">
        <v>2224</v>
      </c>
      <c r="Q784" s="4" t="s">
        <v>3454</v>
      </c>
      <c r="R784" s="4" t="s">
        <v>2226</v>
      </c>
      <c r="S784" s="4" t="s">
        <v>2227</v>
      </c>
      <c r="T784" s="4" t="s">
        <v>2228</v>
      </c>
      <c r="U784" s="4" t="s">
        <v>2248</v>
      </c>
      <c r="V784" s="4" t="s">
        <v>25</v>
      </c>
      <c r="W784" s="4" t="s">
        <v>2278</v>
      </c>
      <c r="X784" s="4" t="s">
        <v>2224</v>
      </c>
      <c r="Y784" s="4" t="s">
        <v>2609</v>
      </c>
      <c r="Z784" s="6">
        <v>17112.2621</v>
      </c>
      <c r="AA784" s="6">
        <v>205347.15</v>
      </c>
      <c r="AB784" s="4" t="s">
        <v>2232</v>
      </c>
      <c r="AC784" s="7" t="s">
        <v>2224</v>
      </c>
    </row>
    <row r="785" spans="1:29" ht="15" customHeight="1" collapsed="1" thickBot="1" x14ac:dyDescent="0.3">
      <c r="A785" s="20" t="str">
        <f>CONCATENATE("495"," - ","MISS", " ","Mazuki"," ", "Mtshizana")</f>
        <v>495 - MISS Mazuki Mtshizana</v>
      </c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2"/>
    </row>
    <row r="786" spans="1:29" ht="15" hidden="1" customHeight="1" outlineLevel="1" thickBot="1" x14ac:dyDescent="0.3">
      <c r="A786" s="4" t="s">
        <v>3455</v>
      </c>
      <c r="B786" s="4" t="s">
        <v>95</v>
      </c>
      <c r="C786" s="4" t="s">
        <v>2220</v>
      </c>
      <c r="D786" s="5">
        <v>42962.461805555555</v>
      </c>
      <c r="E786" s="4" t="s">
        <v>2221</v>
      </c>
      <c r="F786" s="4" t="s">
        <v>2222</v>
      </c>
      <c r="G786" s="4" t="s">
        <v>2234</v>
      </c>
      <c r="H786" s="4" t="s">
        <v>788</v>
      </c>
      <c r="I786" s="4" t="s">
        <v>953</v>
      </c>
      <c r="J786" s="4" t="s">
        <v>952</v>
      </c>
      <c r="K786" s="5">
        <v>29929</v>
      </c>
      <c r="L786" s="4" t="s">
        <v>3456</v>
      </c>
      <c r="M786" s="4" t="s">
        <v>9</v>
      </c>
      <c r="N786" s="5">
        <v>39020</v>
      </c>
      <c r="O786" s="5" t="s">
        <v>2224</v>
      </c>
      <c r="P786" s="4" t="s">
        <v>2224</v>
      </c>
      <c r="Q786" s="4" t="s">
        <v>3457</v>
      </c>
      <c r="R786" s="4" t="s">
        <v>2226</v>
      </c>
      <c r="S786" s="4" t="s">
        <v>2227</v>
      </c>
      <c r="T786" s="4" t="s">
        <v>2228</v>
      </c>
      <c r="U786" s="4" t="s">
        <v>2229</v>
      </c>
      <c r="V786" s="4" t="s">
        <v>17</v>
      </c>
      <c r="W786" s="4" t="s">
        <v>2230</v>
      </c>
      <c r="X786" s="4" t="s">
        <v>2224</v>
      </c>
      <c r="Y786" s="4" t="s">
        <v>2231</v>
      </c>
      <c r="Z786" s="6">
        <v>21430.87</v>
      </c>
      <c r="AA786" s="6">
        <v>257170.44</v>
      </c>
      <c r="AB786" s="4" t="s">
        <v>2232</v>
      </c>
      <c r="AC786" s="7" t="s">
        <v>2224</v>
      </c>
    </row>
    <row r="787" spans="1:29" ht="15" customHeight="1" collapsed="1" thickBot="1" x14ac:dyDescent="0.3">
      <c r="A787" s="20" t="str">
        <f>CONCATENATE("496"," - ","MISS", " ","Siphindile"," ", "Mtsiki")</f>
        <v>496 - MISS Siphindile Mtsiki</v>
      </c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2"/>
    </row>
    <row r="788" spans="1:29" ht="15" hidden="1" customHeight="1" outlineLevel="1" thickBot="1" x14ac:dyDescent="0.3">
      <c r="A788" s="4" t="s">
        <v>3458</v>
      </c>
      <c r="B788" s="4" t="s">
        <v>171</v>
      </c>
      <c r="C788" s="4" t="s">
        <v>2220</v>
      </c>
      <c r="D788" s="5">
        <v>42962.461111111108</v>
      </c>
      <c r="E788" s="4" t="s">
        <v>2221</v>
      </c>
      <c r="F788" s="4" t="s">
        <v>2222</v>
      </c>
      <c r="G788" s="4" t="s">
        <v>2234</v>
      </c>
      <c r="H788" s="4" t="s">
        <v>800</v>
      </c>
      <c r="I788" s="4" t="s">
        <v>1101</v>
      </c>
      <c r="J788" s="4" t="s">
        <v>1100</v>
      </c>
      <c r="K788" s="5">
        <v>28324</v>
      </c>
      <c r="L788" s="4" t="s">
        <v>3459</v>
      </c>
      <c r="M788" s="4" t="s">
        <v>9</v>
      </c>
      <c r="N788" s="5">
        <v>39387</v>
      </c>
      <c r="O788" s="5" t="s">
        <v>2224</v>
      </c>
      <c r="P788" s="4" t="s">
        <v>2224</v>
      </c>
      <c r="Q788" s="4" t="s">
        <v>3460</v>
      </c>
      <c r="R788" s="4" t="s">
        <v>2226</v>
      </c>
      <c r="S788" s="4" t="s">
        <v>2227</v>
      </c>
      <c r="T788" s="4" t="s">
        <v>2228</v>
      </c>
      <c r="U788" s="4" t="s">
        <v>2229</v>
      </c>
      <c r="V788" s="4" t="s">
        <v>25</v>
      </c>
      <c r="W788" s="4" t="s">
        <v>2278</v>
      </c>
      <c r="X788" s="4" t="s">
        <v>2224</v>
      </c>
      <c r="Y788" s="4" t="s">
        <v>2321</v>
      </c>
      <c r="Z788" s="6">
        <v>17112.251499999998</v>
      </c>
      <c r="AA788" s="6">
        <v>205347.02</v>
      </c>
      <c r="AB788" s="4" t="s">
        <v>2232</v>
      </c>
      <c r="AC788" s="7" t="s">
        <v>2224</v>
      </c>
    </row>
    <row r="789" spans="1:29" ht="15" customHeight="1" collapsed="1" thickBot="1" x14ac:dyDescent="0.3">
      <c r="A789" s="20" t="str">
        <f>CONCATENATE("497"," - ","MISS", " ","Ndivhuwo"," ", "Mudau")</f>
        <v>497 - MISS Ndivhuwo Mudau</v>
      </c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2"/>
    </row>
    <row r="790" spans="1:29" ht="15" hidden="1" customHeight="1" outlineLevel="1" thickBot="1" x14ac:dyDescent="0.3">
      <c r="A790" s="4" t="s">
        <v>3461</v>
      </c>
      <c r="B790" s="4" t="s">
        <v>414</v>
      </c>
      <c r="C790" s="4" t="s">
        <v>2220</v>
      </c>
      <c r="D790" s="5">
        <v>42962.461805555555</v>
      </c>
      <c r="E790" s="4" t="s">
        <v>2221</v>
      </c>
      <c r="F790" s="4" t="s">
        <v>2222</v>
      </c>
      <c r="G790" s="4" t="s">
        <v>2234</v>
      </c>
      <c r="H790" s="4" t="s">
        <v>1555</v>
      </c>
      <c r="I790" s="4" t="s">
        <v>1556</v>
      </c>
      <c r="J790" s="4" t="s">
        <v>1554</v>
      </c>
      <c r="K790" s="5">
        <v>30774</v>
      </c>
      <c r="L790" s="4" t="s">
        <v>3462</v>
      </c>
      <c r="M790" s="4" t="s">
        <v>9</v>
      </c>
      <c r="N790" s="5">
        <v>41561</v>
      </c>
      <c r="O790" s="5" t="s">
        <v>2224</v>
      </c>
      <c r="P790" s="4" t="s">
        <v>2224</v>
      </c>
      <c r="Q790" s="4" t="s">
        <v>3463</v>
      </c>
      <c r="R790" s="4" t="s">
        <v>2226</v>
      </c>
      <c r="S790" s="4" t="s">
        <v>2227</v>
      </c>
      <c r="T790" s="4" t="s">
        <v>2228</v>
      </c>
      <c r="U790" s="4" t="s">
        <v>2229</v>
      </c>
      <c r="V790" s="4" t="s">
        <v>25</v>
      </c>
      <c r="W790" s="4" t="s">
        <v>2278</v>
      </c>
      <c r="X790" s="4" t="s">
        <v>2224</v>
      </c>
      <c r="Y790" s="4" t="s">
        <v>2384</v>
      </c>
      <c r="Z790" s="6">
        <v>10979.58</v>
      </c>
      <c r="AA790" s="6">
        <v>131754.96</v>
      </c>
      <c r="AB790" s="4" t="s">
        <v>2232</v>
      </c>
      <c r="AC790" s="7" t="s">
        <v>2224</v>
      </c>
    </row>
    <row r="791" spans="1:29" ht="15" customHeight="1" collapsed="1" thickBot="1" x14ac:dyDescent="0.3">
      <c r="A791" s="20" t="str">
        <f>CONCATENATE("498"," - ","MISS", " ","Thonifho"," ", "Mudau")</f>
        <v>498 - MISS Thonifho Mudau</v>
      </c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2"/>
    </row>
    <row r="792" spans="1:29" ht="15" hidden="1" customHeight="1" outlineLevel="1" thickBot="1" x14ac:dyDescent="0.3">
      <c r="A792" s="4" t="s">
        <v>3464</v>
      </c>
      <c r="B792" s="4" t="s">
        <v>717</v>
      </c>
      <c r="C792" s="4" t="s">
        <v>2220</v>
      </c>
      <c r="D792" s="5">
        <v>42962.461805555555</v>
      </c>
      <c r="E792" s="4" t="s">
        <v>2221</v>
      </c>
      <c r="F792" s="4" t="s">
        <v>2222</v>
      </c>
      <c r="G792" s="4" t="s">
        <v>2234</v>
      </c>
      <c r="H792" s="4" t="s">
        <v>819</v>
      </c>
      <c r="I792" s="4" t="s">
        <v>2097</v>
      </c>
      <c r="J792" s="4" t="s">
        <v>1554</v>
      </c>
      <c r="K792" s="5">
        <v>33332</v>
      </c>
      <c r="L792" s="4" t="s">
        <v>3465</v>
      </c>
      <c r="M792" s="4" t="s">
        <v>9</v>
      </c>
      <c r="N792" s="5">
        <v>42614</v>
      </c>
      <c r="O792" s="5" t="s">
        <v>2224</v>
      </c>
      <c r="P792" s="4" t="s">
        <v>2224</v>
      </c>
      <c r="Q792" s="4" t="s">
        <v>2224</v>
      </c>
      <c r="R792" s="4" t="s">
        <v>2226</v>
      </c>
      <c r="S792" s="4" t="s">
        <v>2227</v>
      </c>
      <c r="T792" s="4" t="s">
        <v>2228</v>
      </c>
      <c r="U792" s="4" t="s">
        <v>2229</v>
      </c>
      <c r="V792" s="4" t="s">
        <v>25</v>
      </c>
      <c r="W792" s="4" t="s">
        <v>2278</v>
      </c>
      <c r="X792" s="4" t="s">
        <v>2224</v>
      </c>
      <c r="Y792" s="4" t="s">
        <v>2384</v>
      </c>
      <c r="Z792" s="6">
        <v>10577.9308</v>
      </c>
      <c r="AA792" s="6">
        <v>126935.17</v>
      </c>
      <c r="AB792" s="4" t="s">
        <v>2232</v>
      </c>
      <c r="AC792" s="7" t="s">
        <v>2244</v>
      </c>
    </row>
    <row r="793" spans="1:29" ht="15" customHeight="1" collapsed="1" thickBot="1" x14ac:dyDescent="0.3">
      <c r="A793" s="20" t="str">
        <f>CONCATENATE("50"," - ","MRS", " ","Cinzia"," ", "Beckett")</f>
        <v>50 - MRS Cinzia Beckett</v>
      </c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2"/>
    </row>
    <row r="794" spans="1:29" ht="15" hidden="1" customHeight="1" outlineLevel="1" thickBot="1" x14ac:dyDescent="0.3">
      <c r="A794" s="4" t="s">
        <v>3466</v>
      </c>
      <c r="B794" s="4" t="s">
        <v>63</v>
      </c>
      <c r="C794" s="4" t="s">
        <v>2220</v>
      </c>
      <c r="D794" s="5">
        <v>42962.461805555555</v>
      </c>
      <c r="E794" s="4" t="s">
        <v>2221</v>
      </c>
      <c r="F794" s="4" t="s">
        <v>2222</v>
      </c>
      <c r="G794" s="4" t="s">
        <v>2280</v>
      </c>
      <c r="H794" s="4" t="s">
        <v>743</v>
      </c>
      <c r="I794" s="4" t="s">
        <v>886</v>
      </c>
      <c r="J794" s="4" t="s">
        <v>885</v>
      </c>
      <c r="K794" s="5">
        <v>29785</v>
      </c>
      <c r="L794" s="4" t="s">
        <v>3467</v>
      </c>
      <c r="M794" s="4" t="s">
        <v>9</v>
      </c>
      <c r="N794" s="5">
        <v>38999</v>
      </c>
      <c r="O794" s="5" t="s">
        <v>2224</v>
      </c>
      <c r="P794" s="4" t="s">
        <v>2224</v>
      </c>
      <c r="Q794" s="4" t="s">
        <v>3468</v>
      </c>
      <c r="R794" s="4" t="s">
        <v>2226</v>
      </c>
      <c r="S794" s="4" t="s">
        <v>2227</v>
      </c>
      <c r="T794" s="4" t="s">
        <v>2228</v>
      </c>
      <c r="U794" s="4" t="s">
        <v>2229</v>
      </c>
      <c r="V794" s="4" t="s">
        <v>25</v>
      </c>
      <c r="W794" s="4" t="s">
        <v>2278</v>
      </c>
      <c r="X794" s="4" t="s">
        <v>2224</v>
      </c>
      <c r="Y794" s="4" t="s">
        <v>2231</v>
      </c>
      <c r="Z794" s="6">
        <v>17112.2621</v>
      </c>
      <c r="AA794" s="6">
        <v>205347.15</v>
      </c>
      <c r="AB794" s="4" t="s">
        <v>2232</v>
      </c>
      <c r="AC794" s="7" t="s">
        <v>2224</v>
      </c>
    </row>
    <row r="795" spans="1:29" ht="15" customHeight="1" collapsed="1" thickBot="1" x14ac:dyDescent="0.3">
      <c r="A795" s="20" t="str">
        <f>CONCATENATE("500"," - ","MR", " ","Nicolaas"," ", "Muller")</f>
        <v>500 - MR Nicolaas Muller</v>
      </c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2"/>
    </row>
    <row r="796" spans="1:29" ht="15" hidden="1" customHeight="1" outlineLevel="1" thickBot="1" x14ac:dyDescent="0.3">
      <c r="A796" s="4" t="s">
        <v>3469</v>
      </c>
      <c r="B796" s="4" t="s">
        <v>269</v>
      </c>
      <c r="C796" s="4" t="s">
        <v>2220</v>
      </c>
      <c r="D796" s="5">
        <v>42963.28402777778</v>
      </c>
      <c r="E796" s="4" t="s">
        <v>2221</v>
      </c>
      <c r="F796" s="4" t="s">
        <v>2222</v>
      </c>
      <c r="G796" s="4" t="s">
        <v>2014</v>
      </c>
      <c r="H796" s="4" t="s">
        <v>895</v>
      </c>
      <c r="I796" s="4" t="s">
        <v>980</v>
      </c>
      <c r="J796" s="4" t="s">
        <v>1293</v>
      </c>
      <c r="K796" s="5">
        <v>30635</v>
      </c>
      <c r="L796" s="4" t="s">
        <v>3470</v>
      </c>
      <c r="M796" s="4" t="s">
        <v>9</v>
      </c>
      <c r="N796" s="5">
        <v>40661</v>
      </c>
      <c r="O796" s="5" t="s">
        <v>2224</v>
      </c>
      <c r="P796" s="4" t="s">
        <v>2224</v>
      </c>
      <c r="Q796" s="4" t="s">
        <v>3471</v>
      </c>
      <c r="R796" s="4" t="s">
        <v>2226</v>
      </c>
      <c r="S796" s="4" t="s">
        <v>2227</v>
      </c>
      <c r="T796" s="4" t="s">
        <v>2228</v>
      </c>
      <c r="U796" s="4" t="s">
        <v>2258</v>
      </c>
      <c r="V796" s="4" t="s">
        <v>198</v>
      </c>
      <c r="W796" s="4" t="s">
        <v>2249</v>
      </c>
      <c r="X796" s="4" t="s">
        <v>2224</v>
      </c>
      <c r="Y796" s="4" t="s">
        <v>2259</v>
      </c>
      <c r="Z796" s="6">
        <v>128789.6004</v>
      </c>
      <c r="AA796" s="6">
        <v>1545475.2</v>
      </c>
      <c r="AB796" s="4" t="s">
        <v>2232</v>
      </c>
      <c r="AC796" s="7" t="s">
        <v>2224</v>
      </c>
    </row>
    <row r="797" spans="1:29" ht="15" customHeight="1" collapsed="1" thickBot="1" x14ac:dyDescent="0.3">
      <c r="A797" s="20" t="str">
        <f>CONCATENATE("501"," - ","MR", " ","Thulani"," ", "Mvalo")</f>
        <v>501 - MR Thulani Mvalo</v>
      </c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2"/>
    </row>
    <row r="798" spans="1:29" ht="15" hidden="1" customHeight="1" outlineLevel="1" thickBot="1" x14ac:dyDescent="0.3">
      <c r="A798" s="4" t="s">
        <v>3472</v>
      </c>
      <c r="B798" s="4" t="s">
        <v>345</v>
      </c>
      <c r="C798" s="4" t="s">
        <v>2220</v>
      </c>
      <c r="D798" s="5">
        <v>42962.463194444441</v>
      </c>
      <c r="E798" s="4" t="s">
        <v>2221</v>
      </c>
      <c r="F798" s="4" t="s">
        <v>2222</v>
      </c>
      <c r="G798" s="4" t="s">
        <v>2014</v>
      </c>
      <c r="H798" s="4" t="s">
        <v>1430</v>
      </c>
      <c r="I798" s="4" t="s">
        <v>1431</v>
      </c>
      <c r="J798" s="4" t="s">
        <v>1429</v>
      </c>
      <c r="K798" s="5">
        <v>32939</v>
      </c>
      <c r="L798" s="4" t="s">
        <v>3473</v>
      </c>
      <c r="M798" s="4" t="s">
        <v>9</v>
      </c>
      <c r="N798" s="5">
        <v>41306</v>
      </c>
      <c r="O798" s="5" t="s">
        <v>2224</v>
      </c>
      <c r="P798" s="4" t="s">
        <v>2224</v>
      </c>
      <c r="Q798" s="4" t="s">
        <v>3474</v>
      </c>
      <c r="R798" s="4" t="s">
        <v>2226</v>
      </c>
      <c r="S798" s="4" t="s">
        <v>2227</v>
      </c>
      <c r="T798" s="4" t="s">
        <v>2228</v>
      </c>
      <c r="U798" s="4" t="s">
        <v>2248</v>
      </c>
      <c r="V798" s="4" t="s">
        <v>346</v>
      </c>
      <c r="W798" s="4" t="s">
        <v>2230</v>
      </c>
      <c r="X798" s="4" t="s">
        <v>2224</v>
      </c>
      <c r="Y798" s="4" t="s">
        <v>2283</v>
      </c>
      <c r="Z798" s="6">
        <v>16940.8</v>
      </c>
      <c r="AA798" s="6">
        <v>203289.60000000001</v>
      </c>
      <c r="AB798" s="4" t="s">
        <v>2232</v>
      </c>
      <c r="AC798" s="7" t="s">
        <v>2224</v>
      </c>
    </row>
    <row r="799" spans="1:29" ht="15" customHeight="1" collapsed="1" thickBot="1" x14ac:dyDescent="0.3">
      <c r="A799" s="20" t="str">
        <f>CONCATENATE("502"," - ","MISS", " ","Nangamso"," ", "Myeki")</f>
        <v>502 - MISS Nangamso Myeki</v>
      </c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2"/>
    </row>
    <row r="800" spans="1:29" ht="15" hidden="1" customHeight="1" outlineLevel="1" thickBot="1" x14ac:dyDescent="0.3">
      <c r="A800" s="4" t="s">
        <v>3475</v>
      </c>
      <c r="B800" s="4" t="s">
        <v>474</v>
      </c>
      <c r="C800" s="4" t="s">
        <v>2220</v>
      </c>
      <c r="D800" s="5">
        <v>42962.461805555555</v>
      </c>
      <c r="E800" s="4" t="s">
        <v>2221</v>
      </c>
      <c r="F800" s="4" t="s">
        <v>2222</v>
      </c>
      <c r="G800" s="4" t="s">
        <v>2234</v>
      </c>
      <c r="H800" s="4" t="s">
        <v>1566</v>
      </c>
      <c r="I800" s="4" t="s">
        <v>1682</v>
      </c>
      <c r="J800" s="4" t="s">
        <v>1681</v>
      </c>
      <c r="K800" s="5">
        <v>32681</v>
      </c>
      <c r="L800" s="4" t="s">
        <v>3476</v>
      </c>
      <c r="M800" s="4" t="s">
        <v>9</v>
      </c>
      <c r="N800" s="5">
        <v>41821</v>
      </c>
      <c r="O800" s="5" t="s">
        <v>2224</v>
      </c>
      <c r="P800" s="4" t="s">
        <v>2224</v>
      </c>
      <c r="Q800" s="4" t="s">
        <v>3477</v>
      </c>
      <c r="R800" s="4" t="s">
        <v>2226</v>
      </c>
      <c r="S800" s="4" t="s">
        <v>2227</v>
      </c>
      <c r="T800" s="4" t="s">
        <v>2228</v>
      </c>
      <c r="U800" s="4" t="s">
        <v>2229</v>
      </c>
      <c r="V800" s="4" t="s">
        <v>25</v>
      </c>
      <c r="W800" s="4" t="s">
        <v>2278</v>
      </c>
      <c r="X800" s="4" t="s">
        <v>2224</v>
      </c>
      <c r="Y800" s="4" t="s">
        <v>2231</v>
      </c>
      <c r="Z800" s="6">
        <v>10844.02</v>
      </c>
      <c r="AA800" s="6">
        <v>130128.24</v>
      </c>
      <c r="AB800" s="4" t="s">
        <v>2232</v>
      </c>
      <c r="AC800" s="7" t="s">
        <v>2224</v>
      </c>
    </row>
    <row r="801" spans="1:29" ht="15" customHeight="1" collapsed="1" thickBot="1" x14ac:dyDescent="0.3">
      <c r="A801" s="20" t="str">
        <f>CONCATENATE("504"," - ","MISS", " ","Fezeka"," ", "Mzila")</f>
        <v>504 - MISS Fezeka Mzila</v>
      </c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2"/>
    </row>
    <row r="802" spans="1:29" ht="15" hidden="1" customHeight="1" outlineLevel="1" thickBot="1" x14ac:dyDescent="0.3">
      <c r="A802" s="4" t="s">
        <v>3478</v>
      </c>
      <c r="B802" s="4" t="s">
        <v>366</v>
      </c>
      <c r="C802" s="4" t="s">
        <v>2220</v>
      </c>
      <c r="D802" s="5">
        <v>42962.461805555555</v>
      </c>
      <c r="E802" s="4" t="s">
        <v>2221</v>
      </c>
      <c r="F802" s="4" t="s">
        <v>2222</v>
      </c>
      <c r="G802" s="4" t="s">
        <v>2234</v>
      </c>
      <c r="H802" s="4" t="s">
        <v>841</v>
      </c>
      <c r="I802" s="4" t="s">
        <v>1467</v>
      </c>
      <c r="J802" s="4" t="s">
        <v>1466</v>
      </c>
      <c r="K802" s="5">
        <v>33149</v>
      </c>
      <c r="L802" s="4" t="s">
        <v>3479</v>
      </c>
      <c r="M802" s="4" t="s">
        <v>9</v>
      </c>
      <c r="N802" s="5">
        <v>41365</v>
      </c>
      <c r="O802" s="5" t="s">
        <v>2224</v>
      </c>
      <c r="P802" s="4" t="s">
        <v>2224</v>
      </c>
      <c r="Q802" s="4" t="s">
        <v>3480</v>
      </c>
      <c r="R802" s="4" t="s">
        <v>2226</v>
      </c>
      <c r="S802" s="4" t="s">
        <v>2227</v>
      </c>
      <c r="T802" s="4" t="s">
        <v>2228</v>
      </c>
      <c r="U802" s="4" t="s">
        <v>2229</v>
      </c>
      <c r="V802" s="4" t="s">
        <v>25</v>
      </c>
      <c r="W802" s="4" t="s">
        <v>2278</v>
      </c>
      <c r="X802" s="4" t="s">
        <v>2224</v>
      </c>
      <c r="Y802" s="4" t="s">
        <v>2394</v>
      </c>
      <c r="Z802" s="6">
        <v>10979.575999999999</v>
      </c>
      <c r="AA802" s="6">
        <v>131754.91</v>
      </c>
      <c r="AB802" s="4" t="s">
        <v>2232</v>
      </c>
      <c r="AC802" s="7" t="s">
        <v>2224</v>
      </c>
    </row>
    <row r="803" spans="1:29" ht="15" customHeight="1" collapsed="1" thickBot="1" x14ac:dyDescent="0.3">
      <c r="A803" s="20" t="str">
        <f>CONCATENATE("505"," - ","MISS", " ","Ashleigh"," ", "Nagel")</f>
        <v>505 - MISS Ashleigh Nagel</v>
      </c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2"/>
    </row>
    <row r="804" spans="1:29" ht="15" hidden="1" customHeight="1" outlineLevel="1" thickBot="1" x14ac:dyDescent="0.3">
      <c r="A804" s="4" t="s">
        <v>3481</v>
      </c>
      <c r="B804" s="4" t="s">
        <v>266</v>
      </c>
      <c r="C804" s="4" t="s">
        <v>2220</v>
      </c>
      <c r="D804" s="5">
        <v>42962.536111111112</v>
      </c>
      <c r="E804" s="4" t="s">
        <v>2221</v>
      </c>
      <c r="F804" s="4" t="s">
        <v>2222</v>
      </c>
      <c r="G804" s="4" t="s">
        <v>2234</v>
      </c>
      <c r="H804" s="4" t="s">
        <v>1287</v>
      </c>
      <c r="I804" s="4" t="s">
        <v>1288</v>
      </c>
      <c r="J804" s="4" t="s">
        <v>1286</v>
      </c>
      <c r="K804" s="5">
        <v>33045</v>
      </c>
      <c r="L804" s="4" t="s">
        <v>3482</v>
      </c>
      <c r="M804" s="4" t="s">
        <v>9</v>
      </c>
      <c r="N804" s="5">
        <v>40644</v>
      </c>
      <c r="O804" s="5" t="s">
        <v>2224</v>
      </c>
      <c r="P804" s="4" t="s">
        <v>2224</v>
      </c>
      <c r="Q804" s="4" t="s">
        <v>3483</v>
      </c>
      <c r="R804" s="4" t="s">
        <v>2226</v>
      </c>
      <c r="S804" s="4" t="s">
        <v>2227</v>
      </c>
      <c r="T804" s="4" t="s">
        <v>2228</v>
      </c>
      <c r="U804" s="4" t="s">
        <v>2237</v>
      </c>
      <c r="V804" s="4" t="s">
        <v>8</v>
      </c>
      <c r="W804" s="4" t="s">
        <v>2238</v>
      </c>
      <c r="X804" s="4" t="s">
        <v>2224</v>
      </c>
      <c r="Y804" s="4" t="s">
        <v>2239</v>
      </c>
      <c r="Z804" s="6">
        <v>17112.25</v>
      </c>
      <c r="AA804" s="6">
        <v>205347</v>
      </c>
      <c r="AB804" s="4" t="s">
        <v>2232</v>
      </c>
      <c r="AC804" s="7" t="s">
        <v>2224</v>
      </c>
    </row>
    <row r="805" spans="1:29" ht="15" customHeight="1" collapsed="1" thickBot="1" x14ac:dyDescent="0.3">
      <c r="A805" s="20" t="str">
        <f>CONCATENATE("507"," - ","MISS", " ","Shivani"," ", "Naidoo")</f>
        <v>507 - MISS Shivani Naidoo</v>
      </c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2"/>
    </row>
    <row r="806" spans="1:29" ht="15" hidden="1" customHeight="1" outlineLevel="1" thickBot="1" x14ac:dyDescent="0.3">
      <c r="A806" s="4" t="s">
        <v>3484</v>
      </c>
      <c r="B806" s="4" t="s">
        <v>352</v>
      </c>
      <c r="C806" s="4" t="s">
        <v>2220</v>
      </c>
      <c r="D806" s="5">
        <v>42962.536805555552</v>
      </c>
      <c r="E806" s="4" t="s">
        <v>2221</v>
      </c>
      <c r="F806" s="4" t="s">
        <v>2222</v>
      </c>
      <c r="G806" s="4" t="s">
        <v>2234</v>
      </c>
      <c r="H806" s="4" t="s">
        <v>865</v>
      </c>
      <c r="I806" s="4" t="s">
        <v>1444</v>
      </c>
      <c r="J806" s="4" t="s">
        <v>1443</v>
      </c>
      <c r="K806" s="5">
        <v>31087</v>
      </c>
      <c r="L806" s="4" t="s">
        <v>3485</v>
      </c>
      <c r="M806" s="4" t="s">
        <v>9</v>
      </c>
      <c r="N806" s="5">
        <v>41307</v>
      </c>
      <c r="O806" s="5" t="s">
        <v>2224</v>
      </c>
      <c r="P806" s="4" t="s">
        <v>2224</v>
      </c>
      <c r="Q806" s="4" t="s">
        <v>3486</v>
      </c>
      <c r="R806" s="4" t="s">
        <v>2226</v>
      </c>
      <c r="S806" s="4" t="s">
        <v>2227</v>
      </c>
      <c r="T806" s="4" t="s">
        <v>2228</v>
      </c>
      <c r="U806" s="4" t="s">
        <v>2237</v>
      </c>
      <c r="V806" s="4" t="s">
        <v>8</v>
      </c>
      <c r="W806" s="4" t="s">
        <v>2238</v>
      </c>
      <c r="X806" s="4" t="s">
        <v>2224</v>
      </c>
      <c r="Y806" s="4" t="s">
        <v>2239</v>
      </c>
      <c r="Z806" s="6">
        <v>20302</v>
      </c>
      <c r="AA806" s="6">
        <v>243624</v>
      </c>
      <c r="AB806" s="4" t="s">
        <v>2232</v>
      </c>
      <c r="AC806" s="7" t="s">
        <v>2224</v>
      </c>
    </row>
    <row r="807" spans="1:29" ht="15" customHeight="1" collapsed="1" thickBot="1" x14ac:dyDescent="0.3">
      <c r="A807" s="20" t="str">
        <f>CONCATENATE("508"," - ","MR", " ","Violan"," ", "Naidoo")</f>
        <v>508 - MR Violan Naidoo</v>
      </c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2"/>
    </row>
    <row r="808" spans="1:29" ht="15" hidden="1" customHeight="1" outlineLevel="1" thickBot="1" x14ac:dyDescent="0.3">
      <c r="A808" s="4" t="s">
        <v>3487</v>
      </c>
      <c r="B808" s="4" t="s">
        <v>496</v>
      </c>
      <c r="C808" s="4" t="s">
        <v>2220</v>
      </c>
      <c r="D808" s="5">
        <v>42962.461805555555</v>
      </c>
      <c r="E808" s="4" t="s">
        <v>2221</v>
      </c>
      <c r="F808" s="4" t="s">
        <v>2222</v>
      </c>
      <c r="G808" s="4" t="s">
        <v>2014</v>
      </c>
      <c r="H808" s="4" t="s">
        <v>907</v>
      </c>
      <c r="I808" s="4" t="s">
        <v>1724</v>
      </c>
      <c r="J808" s="4" t="s">
        <v>1443</v>
      </c>
      <c r="K808" s="5">
        <v>34165</v>
      </c>
      <c r="L808" s="4" t="s">
        <v>3488</v>
      </c>
      <c r="M808" s="4" t="s">
        <v>9</v>
      </c>
      <c r="N808" s="5">
        <v>41944</v>
      </c>
      <c r="O808" s="5" t="s">
        <v>2224</v>
      </c>
      <c r="P808" s="4" t="s">
        <v>2224</v>
      </c>
      <c r="Q808" s="4" t="s">
        <v>2552</v>
      </c>
      <c r="R808" s="4" t="s">
        <v>2226</v>
      </c>
      <c r="S808" s="4" t="s">
        <v>2227</v>
      </c>
      <c r="T808" s="4" t="s">
        <v>2228</v>
      </c>
      <c r="U808" s="4" t="s">
        <v>2229</v>
      </c>
      <c r="V808" s="4" t="s">
        <v>25</v>
      </c>
      <c r="W808" s="4" t="s">
        <v>2278</v>
      </c>
      <c r="X808" s="4" t="s">
        <v>2224</v>
      </c>
      <c r="Y808" s="4" t="s">
        <v>2394</v>
      </c>
      <c r="Z808" s="6">
        <v>10844.03</v>
      </c>
      <c r="AA808" s="6">
        <v>130128.36</v>
      </c>
      <c r="AB808" s="4" t="s">
        <v>2232</v>
      </c>
      <c r="AC808" s="7" t="s">
        <v>2224</v>
      </c>
    </row>
    <row r="809" spans="1:29" ht="15" customHeight="1" collapsed="1" thickBot="1" x14ac:dyDescent="0.3">
      <c r="A809" s="20" t="str">
        <f>CONCATENATE("509"," - ","MISS", " ","Laura"," ", "Nakasa")</f>
        <v>509 - MISS Laura Nakasa</v>
      </c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2"/>
    </row>
    <row r="810" spans="1:29" ht="15" hidden="1" customHeight="1" outlineLevel="1" thickBot="1" x14ac:dyDescent="0.3">
      <c r="A810" s="4" t="s">
        <v>3489</v>
      </c>
      <c r="B810" s="4" t="s">
        <v>216</v>
      </c>
      <c r="C810" s="4" t="s">
        <v>2220</v>
      </c>
      <c r="D810" s="5">
        <v>42962.461805555555</v>
      </c>
      <c r="E810" s="4" t="s">
        <v>2221</v>
      </c>
      <c r="F810" s="4" t="s">
        <v>2222</v>
      </c>
      <c r="G810" s="4" t="s">
        <v>2234</v>
      </c>
      <c r="H810" s="4" t="s">
        <v>1105</v>
      </c>
      <c r="I810" s="4" t="s">
        <v>1192</v>
      </c>
      <c r="J810" s="4" t="s">
        <v>1191</v>
      </c>
      <c r="K810" s="5">
        <v>28213</v>
      </c>
      <c r="L810" s="4" t="s">
        <v>3490</v>
      </c>
      <c r="M810" s="4" t="s">
        <v>9</v>
      </c>
      <c r="N810" s="5">
        <v>40148</v>
      </c>
      <c r="O810" s="5" t="s">
        <v>2224</v>
      </c>
      <c r="P810" s="4" t="s">
        <v>2224</v>
      </c>
      <c r="Q810" s="4" t="s">
        <v>3491</v>
      </c>
      <c r="R810" s="4" t="s">
        <v>2226</v>
      </c>
      <c r="S810" s="4" t="s">
        <v>2227</v>
      </c>
      <c r="T810" s="4" t="s">
        <v>2228</v>
      </c>
      <c r="U810" s="4" t="s">
        <v>2229</v>
      </c>
      <c r="V810" s="4" t="s">
        <v>25</v>
      </c>
      <c r="W810" s="4" t="s">
        <v>2278</v>
      </c>
      <c r="X810" s="4" t="s">
        <v>2224</v>
      </c>
      <c r="Y810" s="4" t="s">
        <v>2384</v>
      </c>
      <c r="Z810" s="6">
        <v>17112.251499999998</v>
      </c>
      <c r="AA810" s="6">
        <v>205347.02</v>
      </c>
      <c r="AB810" s="4" t="s">
        <v>2232</v>
      </c>
      <c r="AC810" s="7" t="s">
        <v>2224</v>
      </c>
    </row>
    <row r="811" spans="1:29" ht="15" customHeight="1" collapsed="1" thickBot="1" x14ac:dyDescent="0.3">
      <c r="A811" s="20" t="str">
        <f>CONCATENATE("51"," - ","MISS", " ","Ingrid"," ", "Bennett")</f>
        <v>51 - MISS Ingrid Bennett</v>
      </c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2"/>
    </row>
    <row r="812" spans="1:29" ht="15" hidden="1" customHeight="1" outlineLevel="1" thickBot="1" x14ac:dyDescent="0.3">
      <c r="A812" s="4" t="s">
        <v>3492</v>
      </c>
      <c r="B812" s="4" t="s">
        <v>480</v>
      </c>
      <c r="C812" s="4" t="s">
        <v>2220</v>
      </c>
      <c r="D812" s="5">
        <v>42962.461805555555</v>
      </c>
      <c r="E812" s="4" t="s">
        <v>2221</v>
      </c>
      <c r="F812" s="4" t="s">
        <v>2222</v>
      </c>
      <c r="G812" s="4" t="s">
        <v>2234</v>
      </c>
      <c r="H812" s="4" t="s">
        <v>744</v>
      </c>
      <c r="I812" s="4" t="s">
        <v>1693</v>
      </c>
      <c r="J812" s="4" t="s">
        <v>1125</v>
      </c>
      <c r="K812" s="5">
        <v>29781</v>
      </c>
      <c r="L812" s="4" t="s">
        <v>3493</v>
      </c>
      <c r="M812" s="4" t="s">
        <v>9</v>
      </c>
      <c r="N812" s="5">
        <v>41883</v>
      </c>
      <c r="O812" s="5" t="s">
        <v>2224</v>
      </c>
      <c r="P812" s="4" t="s">
        <v>2224</v>
      </c>
      <c r="Q812" s="4" t="s">
        <v>3494</v>
      </c>
      <c r="R812" s="4" t="s">
        <v>2226</v>
      </c>
      <c r="S812" s="4" t="s">
        <v>2227</v>
      </c>
      <c r="T812" s="4" t="s">
        <v>2228</v>
      </c>
      <c r="U812" s="4" t="s">
        <v>2229</v>
      </c>
      <c r="V812" s="4" t="s">
        <v>25</v>
      </c>
      <c r="W812" s="4" t="s">
        <v>2278</v>
      </c>
      <c r="X812" s="4" t="s">
        <v>2224</v>
      </c>
      <c r="Y812" s="4" t="s">
        <v>2449</v>
      </c>
      <c r="Z812" s="6">
        <v>10577.9308</v>
      </c>
      <c r="AA812" s="6">
        <v>126935.17</v>
      </c>
      <c r="AB812" s="4" t="s">
        <v>2232</v>
      </c>
      <c r="AC812" s="7" t="s">
        <v>2224</v>
      </c>
    </row>
    <row r="813" spans="1:29" ht="15" customHeight="1" collapsed="1" thickBot="1" x14ac:dyDescent="0.3">
      <c r="A813" s="20" t="str">
        <f>CONCATENATE("510"," - ","MR", " ","David"," ", "Naude")</f>
        <v>510 - MR David Naude</v>
      </c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2"/>
    </row>
    <row r="814" spans="1:29" ht="15" hidden="1" customHeight="1" outlineLevel="1" thickBot="1" x14ac:dyDescent="0.3">
      <c r="A814" s="4" t="s">
        <v>3495</v>
      </c>
      <c r="B814" s="4" t="s">
        <v>245</v>
      </c>
      <c r="C814" s="4" t="s">
        <v>2220</v>
      </c>
      <c r="D814" s="5">
        <v>42963.281944444439</v>
      </c>
      <c r="E814" s="4" t="s">
        <v>2221</v>
      </c>
      <c r="F814" s="4" t="s">
        <v>2222</v>
      </c>
      <c r="G814" s="4" t="s">
        <v>2014</v>
      </c>
      <c r="H814" s="4" t="s">
        <v>1248</v>
      </c>
      <c r="I814" s="4" t="s">
        <v>1249</v>
      </c>
      <c r="J814" s="4" t="s">
        <v>1247</v>
      </c>
      <c r="K814" s="5">
        <v>26645</v>
      </c>
      <c r="L814" s="4" t="s">
        <v>3496</v>
      </c>
      <c r="M814" s="4" t="s">
        <v>9</v>
      </c>
      <c r="N814" s="5">
        <v>40510</v>
      </c>
      <c r="O814" s="5" t="s">
        <v>2224</v>
      </c>
      <c r="P814" s="4" t="s">
        <v>2224</v>
      </c>
      <c r="Q814" s="4" t="s">
        <v>3497</v>
      </c>
      <c r="R814" s="4" t="s">
        <v>2226</v>
      </c>
      <c r="S814" s="4" t="s">
        <v>2227</v>
      </c>
      <c r="T814" s="4" t="s">
        <v>2228</v>
      </c>
      <c r="U814" s="4" t="s">
        <v>2258</v>
      </c>
      <c r="V814" s="4" t="s">
        <v>246</v>
      </c>
      <c r="W814" s="4" t="s">
        <v>2249</v>
      </c>
      <c r="X814" s="4" t="s">
        <v>2224</v>
      </c>
      <c r="Y814" s="4" t="s">
        <v>2259</v>
      </c>
      <c r="Z814" s="6">
        <v>75133.202399999995</v>
      </c>
      <c r="AA814" s="6">
        <v>901598.43</v>
      </c>
      <c r="AB814" s="4" t="s">
        <v>2232</v>
      </c>
      <c r="AC814" s="7" t="s">
        <v>2224</v>
      </c>
    </row>
    <row r="815" spans="1:29" ht="15" customHeight="1" collapsed="1" thickBot="1" x14ac:dyDescent="0.3">
      <c r="A815" s="20" t="str">
        <f>CONCATENATE("511"," - ","MISS", " ","Jani"," ", "Naude")</f>
        <v>511 - MISS Jani Naude</v>
      </c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2"/>
    </row>
    <row r="816" spans="1:29" ht="15" hidden="1" customHeight="1" outlineLevel="1" thickBot="1" x14ac:dyDescent="0.3">
      <c r="A816" s="4" t="s">
        <v>3498</v>
      </c>
      <c r="B816" s="4" t="s">
        <v>556</v>
      </c>
      <c r="C816" s="4" t="s">
        <v>2220</v>
      </c>
      <c r="D816" s="5">
        <v>42962.549999999996</v>
      </c>
      <c r="E816" s="4" t="s">
        <v>2221</v>
      </c>
      <c r="F816" s="4" t="s">
        <v>2222</v>
      </c>
      <c r="G816" s="4" t="s">
        <v>2234</v>
      </c>
      <c r="H816" s="4" t="s">
        <v>1831</v>
      </c>
      <c r="I816" s="4" t="s">
        <v>1832</v>
      </c>
      <c r="J816" s="4" t="s">
        <v>1247</v>
      </c>
      <c r="K816" s="5">
        <v>33977</v>
      </c>
      <c r="L816" s="4" t="s">
        <v>3499</v>
      </c>
      <c r="M816" s="4" t="s">
        <v>9</v>
      </c>
      <c r="N816" s="5">
        <v>42090</v>
      </c>
      <c r="O816" s="5" t="s">
        <v>2224</v>
      </c>
      <c r="P816" s="4" t="s">
        <v>2224</v>
      </c>
      <c r="Q816" s="4" t="s">
        <v>3500</v>
      </c>
      <c r="R816" s="4" t="s">
        <v>2226</v>
      </c>
      <c r="S816" s="4" t="s">
        <v>2227</v>
      </c>
      <c r="T816" s="4" t="s">
        <v>2228</v>
      </c>
      <c r="U816" s="4" t="s">
        <v>2237</v>
      </c>
      <c r="V816" s="4" t="s">
        <v>8</v>
      </c>
      <c r="W816" s="4" t="s">
        <v>2278</v>
      </c>
      <c r="X816" s="4" t="s">
        <v>2224</v>
      </c>
      <c r="Y816" s="4" t="s">
        <v>2239</v>
      </c>
      <c r="Z816" s="6">
        <v>16081.7003</v>
      </c>
      <c r="AA816" s="6">
        <v>192980.4</v>
      </c>
      <c r="AB816" s="4" t="s">
        <v>2232</v>
      </c>
      <c r="AC816" s="7" t="s">
        <v>2224</v>
      </c>
    </row>
    <row r="817" spans="1:29" ht="15" customHeight="1" collapsed="1" thickBot="1" x14ac:dyDescent="0.3">
      <c r="A817" s="20" t="str">
        <f>CONCATENATE("512"," - ","MR", " ","Juan"," ", "Naude")</f>
        <v>512 - MR Juan Naude</v>
      </c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2"/>
    </row>
    <row r="818" spans="1:29" ht="15" hidden="1" customHeight="1" outlineLevel="1" thickBot="1" x14ac:dyDescent="0.3">
      <c r="A818" s="4" t="s">
        <v>3501</v>
      </c>
      <c r="B818" s="4" t="s">
        <v>357</v>
      </c>
      <c r="C818" s="4" t="s">
        <v>2220</v>
      </c>
      <c r="D818" s="5">
        <v>42963.295138888891</v>
      </c>
      <c r="E818" s="4" t="s">
        <v>2221</v>
      </c>
      <c r="F818" s="4" t="s">
        <v>2222</v>
      </c>
      <c r="G818" s="4" t="s">
        <v>2014</v>
      </c>
      <c r="H818" s="4" t="s">
        <v>888</v>
      </c>
      <c r="I818" s="4" t="s">
        <v>1452</v>
      </c>
      <c r="J818" s="4" t="s">
        <v>1247</v>
      </c>
      <c r="K818" s="5">
        <v>27058</v>
      </c>
      <c r="L818" s="4" t="s">
        <v>3502</v>
      </c>
      <c r="M818" s="4" t="s">
        <v>9</v>
      </c>
      <c r="N818" s="5">
        <v>41330</v>
      </c>
      <c r="O818" s="5" t="s">
        <v>2224</v>
      </c>
      <c r="P818" s="4" t="s">
        <v>2224</v>
      </c>
      <c r="Q818" s="4" t="s">
        <v>3503</v>
      </c>
      <c r="R818" s="4" t="s">
        <v>2226</v>
      </c>
      <c r="S818" s="4" t="s">
        <v>2227</v>
      </c>
      <c r="T818" s="4" t="s">
        <v>2228</v>
      </c>
      <c r="U818" s="4" t="s">
        <v>2248</v>
      </c>
      <c r="V818" s="4" t="s">
        <v>358</v>
      </c>
      <c r="W818" s="4" t="s">
        <v>2249</v>
      </c>
      <c r="X818" s="4" t="s">
        <v>2224</v>
      </c>
      <c r="Y818" s="4" t="s">
        <v>3504</v>
      </c>
      <c r="Z818" s="6">
        <v>129519.07</v>
      </c>
      <c r="AA818" s="6">
        <v>1554228.84</v>
      </c>
      <c r="AB818" s="4" t="s">
        <v>2232</v>
      </c>
      <c r="AC818" s="7" t="s">
        <v>2224</v>
      </c>
    </row>
    <row r="819" spans="1:29" ht="15" customHeight="1" collapsed="1" thickBot="1" x14ac:dyDescent="0.3">
      <c r="A819" s="20" t="str">
        <f>CONCATENATE("513"," - ","MISS", " ","Lazola"," ", "Ncayo")</f>
        <v>513 - MISS Lazola Ncayo</v>
      </c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2"/>
    </row>
    <row r="820" spans="1:29" ht="15" hidden="1" customHeight="1" outlineLevel="1" thickBot="1" x14ac:dyDescent="0.3">
      <c r="A820" s="4" t="s">
        <v>3505</v>
      </c>
      <c r="B820" s="4" t="s">
        <v>43</v>
      </c>
      <c r="C820" s="4" t="s">
        <v>2220</v>
      </c>
      <c r="D820" s="5">
        <v>42962.461805555555</v>
      </c>
      <c r="E820" s="4" t="s">
        <v>2221</v>
      </c>
      <c r="F820" s="4" t="s">
        <v>2222</v>
      </c>
      <c r="G820" s="4" t="s">
        <v>2234</v>
      </c>
      <c r="H820" s="4" t="s">
        <v>826</v>
      </c>
      <c r="I820" s="4" t="s">
        <v>849</v>
      </c>
      <c r="J820" s="4" t="s">
        <v>848</v>
      </c>
      <c r="K820" s="5">
        <v>31759</v>
      </c>
      <c r="L820" s="4" t="s">
        <v>3506</v>
      </c>
      <c r="M820" s="4" t="s">
        <v>9</v>
      </c>
      <c r="N820" s="5">
        <v>38986</v>
      </c>
      <c r="O820" s="5" t="s">
        <v>2224</v>
      </c>
      <c r="P820" s="4" t="s">
        <v>2224</v>
      </c>
      <c r="Q820" s="4" t="s">
        <v>3507</v>
      </c>
      <c r="R820" s="4" t="s">
        <v>2226</v>
      </c>
      <c r="S820" s="4" t="s">
        <v>2227</v>
      </c>
      <c r="T820" s="4" t="s">
        <v>2228</v>
      </c>
      <c r="U820" s="4" t="s">
        <v>2229</v>
      </c>
      <c r="V820" s="4" t="s">
        <v>25</v>
      </c>
      <c r="W820" s="4" t="s">
        <v>2278</v>
      </c>
      <c r="X820" s="4" t="s">
        <v>2224</v>
      </c>
      <c r="Y820" s="4" t="s">
        <v>2231</v>
      </c>
      <c r="Z820" s="6">
        <v>17112.2621</v>
      </c>
      <c r="AA820" s="6">
        <v>205347.15</v>
      </c>
      <c r="AB820" s="4" t="s">
        <v>2232</v>
      </c>
      <c r="AC820" s="7" t="s">
        <v>2224</v>
      </c>
    </row>
    <row r="821" spans="1:29" ht="15" customHeight="1" collapsed="1" thickBot="1" x14ac:dyDescent="0.3">
      <c r="A821" s="20" t="str">
        <f>CONCATENATE("514"," - ","MISS", " ","Keneilwe"," ", "Ndaba")</f>
        <v>514 - MISS Keneilwe Ndaba</v>
      </c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2"/>
    </row>
    <row r="822" spans="1:29" ht="15" hidden="1" customHeight="1" outlineLevel="1" thickBot="1" x14ac:dyDescent="0.3">
      <c r="A822" s="4" t="s">
        <v>3508</v>
      </c>
      <c r="B822" s="4" t="s">
        <v>483</v>
      </c>
      <c r="C822" s="4" t="s">
        <v>2220</v>
      </c>
      <c r="D822" s="5">
        <v>42962.461805555555</v>
      </c>
      <c r="E822" s="4" t="s">
        <v>2221</v>
      </c>
      <c r="F822" s="4" t="s">
        <v>2222</v>
      </c>
      <c r="G822" s="4" t="s">
        <v>2234</v>
      </c>
      <c r="H822" s="4" t="s">
        <v>1699</v>
      </c>
      <c r="I822" s="4" t="s">
        <v>1700</v>
      </c>
      <c r="J822" s="4" t="s">
        <v>1698</v>
      </c>
      <c r="K822" s="5">
        <v>30423</v>
      </c>
      <c r="L822" s="4" t="s">
        <v>3509</v>
      </c>
      <c r="M822" s="4" t="s">
        <v>9</v>
      </c>
      <c r="N822" s="5">
        <v>41883</v>
      </c>
      <c r="O822" s="5" t="s">
        <v>2224</v>
      </c>
      <c r="P822" s="4" t="s">
        <v>2224</v>
      </c>
      <c r="Q822" s="4" t="s">
        <v>3510</v>
      </c>
      <c r="R822" s="4" t="s">
        <v>2226</v>
      </c>
      <c r="S822" s="4" t="s">
        <v>2227</v>
      </c>
      <c r="T822" s="4" t="s">
        <v>2228</v>
      </c>
      <c r="U822" s="4" t="s">
        <v>2229</v>
      </c>
      <c r="V822" s="4" t="s">
        <v>25</v>
      </c>
      <c r="W822" s="4" t="s">
        <v>2278</v>
      </c>
      <c r="X822" s="4" t="s">
        <v>2224</v>
      </c>
      <c r="Y822" s="4" t="s">
        <v>2384</v>
      </c>
      <c r="Z822" s="6">
        <v>10844.03</v>
      </c>
      <c r="AA822" s="6">
        <v>130128.36</v>
      </c>
      <c r="AB822" s="4" t="s">
        <v>2232</v>
      </c>
      <c r="AC822" s="7" t="s">
        <v>2224</v>
      </c>
    </row>
    <row r="823" spans="1:29" ht="15" customHeight="1" collapsed="1" thickBot="1" x14ac:dyDescent="0.3">
      <c r="A823" s="20" t="str">
        <f>CONCATENATE("515"," - ","MISS", " ","Siyamthanda"," ", "Ndamane")</f>
        <v>515 - MISS Siyamthanda Ndamane</v>
      </c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2"/>
    </row>
    <row r="824" spans="1:29" ht="15" hidden="1" customHeight="1" outlineLevel="1" thickBot="1" x14ac:dyDescent="0.3">
      <c r="A824" s="4" t="s">
        <v>3511</v>
      </c>
      <c r="B824" s="4" t="s">
        <v>66</v>
      </c>
      <c r="C824" s="4" t="s">
        <v>2220</v>
      </c>
      <c r="D824" s="5">
        <v>42962.461805555555</v>
      </c>
      <c r="E824" s="4" t="s">
        <v>2221</v>
      </c>
      <c r="F824" s="4" t="s">
        <v>2222</v>
      </c>
      <c r="G824" s="4" t="s">
        <v>2234</v>
      </c>
      <c r="H824" s="4" t="s">
        <v>800</v>
      </c>
      <c r="I824" s="4" t="s">
        <v>893</v>
      </c>
      <c r="J824" s="4" t="s">
        <v>892</v>
      </c>
      <c r="K824" s="5">
        <v>30264</v>
      </c>
      <c r="L824" s="4" t="s">
        <v>3512</v>
      </c>
      <c r="M824" s="4" t="s">
        <v>9</v>
      </c>
      <c r="N824" s="5">
        <v>38999</v>
      </c>
      <c r="O824" s="5" t="s">
        <v>2224</v>
      </c>
      <c r="P824" s="4" t="s">
        <v>2224</v>
      </c>
      <c r="Q824" s="4" t="s">
        <v>3513</v>
      </c>
      <c r="R824" s="4" t="s">
        <v>2226</v>
      </c>
      <c r="S824" s="4" t="s">
        <v>2227</v>
      </c>
      <c r="T824" s="4" t="s">
        <v>2228</v>
      </c>
      <c r="U824" s="4" t="s">
        <v>2229</v>
      </c>
      <c r="V824" s="4" t="s">
        <v>25</v>
      </c>
      <c r="W824" s="4" t="s">
        <v>2278</v>
      </c>
      <c r="X824" s="4" t="s">
        <v>2224</v>
      </c>
      <c r="Y824" s="4" t="s">
        <v>2231</v>
      </c>
      <c r="Z824" s="6">
        <v>17112.251499999998</v>
      </c>
      <c r="AA824" s="6">
        <v>205347.02</v>
      </c>
      <c r="AB824" s="4" t="s">
        <v>2232</v>
      </c>
      <c r="AC824" s="7" t="s">
        <v>2224</v>
      </c>
    </row>
    <row r="825" spans="1:29" ht="15" customHeight="1" collapsed="1" thickBot="1" x14ac:dyDescent="0.3">
      <c r="A825" s="20" t="str">
        <f>CONCATENATE("517"," - ","MRS", " ","Khensani"," ", "Ndlovu")</f>
        <v>517 - MRS Khensani Ndlovu</v>
      </c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2"/>
    </row>
    <row r="826" spans="1:29" ht="15" hidden="1" customHeight="1" outlineLevel="1" thickBot="1" x14ac:dyDescent="0.3">
      <c r="A826" s="4" t="s">
        <v>3514</v>
      </c>
      <c r="B826" s="4" t="s">
        <v>566</v>
      </c>
      <c r="C826" s="4" t="s">
        <v>2220</v>
      </c>
      <c r="D826" s="5">
        <v>42962.461805555555</v>
      </c>
      <c r="E826" s="4" t="s">
        <v>2221</v>
      </c>
      <c r="F826" s="4" t="s">
        <v>2222</v>
      </c>
      <c r="G826" s="4" t="s">
        <v>2280</v>
      </c>
      <c r="H826" s="4" t="s">
        <v>1853</v>
      </c>
      <c r="I826" s="4" t="s">
        <v>1852</v>
      </c>
      <c r="J826" s="4" t="s">
        <v>1851</v>
      </c>
      <c r="K826" s="5">
        <v>30950</v>
      </c>
      <c r="L826" s="4" t="s">
        <v>3515</v>
      </c>
      <c r="M826" s="4" t="s">
        <v>9</v>
      </c>
      <c r="N826" s="5">
        <v>42128</v>
      </c>
      <c r="O826" s="5" t="s">
        <v>2224</v>
      </c>
      <c r="P826" s="4" t="s">
        <v>2224</v>
      </c>
      <c r="Q826" s="4" t="s">
        <v>3516</v>
      </c>
      <c r="R826" s="4" t="s">
        <v>2226</v>
      </c>
      <c r="S826" s="4" t="s">
        <v>2227</v>
      </c>
      <c r="T826" s="4" t="s">
        <v>2228</v>
      </c>
      <c r="U826" s="4" t="s">
        <v>2229</v>
      </c>
      <c r="V826" s="4" t="s">
        <v>25</v>
      </c>
      <c r="W826" s="4" t="s">
        <v>2278</v>
      </c>
      <c r="X826" s="4" t="s">
        <v>2224</v>
      </c>
      <c r="Y826" s="4" t="s">
        <v>2384</v>
      </c>
      <c r="Z826" s="6">
        <v>10801.390600000001</v>
      </c>
      <c r="AA826" s="6">
        <v>129616.69</v>
      </c>
      <c r="AB826" s="4" t="s">
        <v>2232</v>
      </c>
      <c r="AC826" s="7" t="s">
        <v>2224</v>
      </c>
    </row>
    <row r="827" spans="1:29" ht="15" customHeight="1" collapsed="1" thickBot="1" x14ac:dyDescent="0.3">
      <c r="A827" s="20" t="str">
        <f>CONCATENATE("519"," - ","MRS", " ","Busisiwe"," ", "Ndobe")</f>
        <v>519 - MRS Busisiwe Ndobe</v>
      </c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2"/>
    </row>
    <row r="828" spans="1:29" ht="15" hidden="1" customHeight="1" outlineLevel="1" thickBot="1" x14ac:dyDescent="0.3">
      <c r="A828" s="4" t="s">
        <v>3517</v>
      </c>
      <c r="B828" s="4" t="s">
        <v>470</v>
      </c>
      <c r="C828" s="4" t="s">
        <v>2220</v>
      </c>
      <c r="D828" s="5">
        <v>42962.461805555555</v>
      </c>
      <c r="E828" s="4" t="s">
        <v>2221</v>
      </c>
      <c r="F828" s="4" t="s">
        <v>2222</v>
      </c>
      <c r="G828" s="4" t="s">
        <v>2280</v>
      </c>
      <c r="H828" s="4" t="s">
        <v>791</v>
      </c>
      <c r="I828" s="4" t="s">
        <v>1081</v>
      </c>
      <c r="J828" s="4" t="s">
        <v>1672</v>
      </c>
      <c r="K828" s="5">
        <v>29464</v>
      </c>
      <c r="L828" s="4" t="s">
        <v>3518</v>
      </c>
      <c r="M828" s="4" t="s">
        <v>9</v>
      </c>
      <c r="N828" s="5">
        <v>41773</v>
      </c>
      <c r="O828" s="5" t="s">
        <v>2224</v>
      </c>
      <c r="P828" s="4" t="s">
        <v>2224</v>
      </c>
      <c r="Q828" s="4" t="s">
        <v>3519</v>
      </c>
      <c r="R828" s="4" t="s">
        <v>2226</v>
      </c>
      <c r="S828" s="4" t="s">
        <v>2227</v>
      </c>
      <c r="T828" s="4" t="s">
        <v>2228</v>
      </c>
      <c r="U828" s="4" t="s">
        <v>2229</v>
      </c>
      <c r="V828" s="4" t="s">
        <v>25</v>
      </c>
      <c r="W828" s="4" t="s">
        <v>2278</v>
      </c>
      <c r="X828" s="4" t="s">
        <v>2224</v>
      </c>
      <c r="Y828" s="4" t="s">
        <v>2384</v>
      </c>
      <c r="Z828" s="6">
        <v>10979.58</v>
      </c>
      <c r="AA828" s="6">
        <v>131754.96</v>
      </c>
      <c r="AB828" s="4" t="s">
        <v>2232</v>
      </c>
      <c r="AC828" s="7" t="s">
        <v>2224</v>
      </c>
    </row>
    <row r="829" spans="1:29" ht="15" customHeight="1" collapsed="1" thickBot="1" x14ac:dyDescent="0.3">
      <c r="A829" s="20" t="str">
        <f>CONCATENATE("52"," - ","MISS", " ","Phyllis"," ", "Bennett")</f>
        <v>52 - MISS Phyllis Bennett</v>
      </c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2"/>
    </row>
    <row r="830" spans="1:29" ht="15" hidden="1" customHeight="1" outlineLevel="1" thickBot="1" x14ac:dyDescent="0.3">
      <c r="A830" s="4" t="s">
        <v>3520</v>
      </c>
      <c r="B830" s="4" t="s">
        <v>184</v>
      </c>
      <c r="C830" s="4" t="s">
        <v>2220</v>
      </c>
      <c r="D830" s="5">
        <v>42962.550694444442</v>
      </c>
      <c r="E830" s="4" t="s">
        <v>2221</v>
      </c>
      <c r="F830" s="4" t="s">
        <v>2222</v>
      </c>
      <c r="G830" s="4" t="s">
        <v>2234</v>
      </c>
      <c r="H830" s="4" t="s">
        <v>781</v>
      </c>
      <c r="I830" s="4" t="s">
        <v>1126</v>
      </c>
      <c r="J830" s="4" t="s">
        <v>1125</v>
      </c>
      <c r="K830" s="5">
        <v>23916</v>
      </c>
      <c r="L830" s="4" t="s">
        <v>3521</v>
      </c>
      <c r="M830" s="4" t="s">
        <v>9</v>
      </c>
      <c r="N830" s="5">
        <v>39503</v>
      </c>
      <c r="O830" s="5" t="s">
        <v>2224</v>
      </c>
      <c r="P830" s="4" t="s">
        <v>2224</v>
      </c>
      <c r="Q830" s="4" t="s">
        <v>3522</v>
      </c>
      <c r="R830" s="4" t="s">
        <v>2226</v>
      </c>
      <c r="S830" s="4" t="s">
        <v>2227</v>
      </c>
      <c r="T830" s="4" t="s">
        <v>2228</v>
      </c>
      <c r="U830" s="4" t="s">
        <v>2248</v>
      </c>
      <c r="V830" s="4" t="s">
        <v>185</v>
      </c>
      <c r="W830" s="4" t="s">
        <v>2249</v>
      </c>
      <c r="X830" s="4" t="s">
        <v>2224</v>
      </c>
      <c r="Y830" s="4" t="s">
        <v>2473</v>
      </c>
      <c r="Z830" s="6">
        <v>31054.3711</v>
      </c>
      <c r="AA830" s="6">
        <v>372652.45</v>
      </c>
      <c r="AB830" s="4" t="s">
        <v>2232</v>
      </c>
      <c r="AC830" s="7" t="s">
        <v>2224</v>
      </c>
    </row>
    <row r="831" spans="1:29" ht="15" customHeight="1" collapsed="1" thickBot="1" x14ac:dyDescent="0.3">
      <c r="A831" s="20" t="str">
        <f>CONCATENATE("520"," - ","MRS", " ","Hangwelani"," ", "Ndou")</f>
        <v>520 - MRS Hangwelani Ndou</v>
      </c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2"/>
    </row>
    <row r="832" spans="1:29" ht="15" hidden="1" customHeight="1" outlineLevel="1" thickBot="1" x14ac:dyDescent="0.3">
      <c r="A832" s="4" t="s">
        <v>3523</v>
      </c>
      <c r="B832" s="4" t="s">
        <v>454</v>
      </c>
      <c r="C832" s="4" t="s">
        <v>2220</v>
      </c>
      <c r="D832" s="5">
        <v>42962.461805555555</v>
      </c>
      <c r="E832" s="4" t="s">
        <v>2221</v>
      </c>
      <c r="F832" s="4" t="s">
        <v>2222</v>
      </c>
      <c r="G832" s="4" t="s">
        <v>2280</v>
      </c>
      <c r="H832" s="4" t="s">
        <v>1645</v>
      </c>
      <c r="I832" s="4" t="s">
        <v>1646</v>
      </c>
      <c r="J832" s="4" t="s">
        <v>1644</v>
      </c>
      <c r="K832" s="5">
        <v>28058</v>
      </c>
      <c r="L832" s="4" t="s">
        <v>3524</v>
      </c>
      <c r="M832" s="4" t="s">
        <v>9</v>
      </c>
      <c r="N832" s="5">
        <v>41708</v>
      </c>
      <c r="O832" s="5" t="s">
        <v>2224</v>
      </c>
      <c r="P832" s="4" t="s">
        <v>2224</v>
      </c>
      <c r="Q832" s="4" t="s">
        <v>3525</v>
      </c>
      <c r="R832" s="4" t="s">
        <v>2226</v>
      </c>
      <c r="S832" s="4" t="s">
        <v>2227</v>
      </c>
      <c r="T832" s="4" t="s">
        <v>2228</v>
      </c>
      <c r="U832" s="4" t="s">
        <v>2229</v>
      </c>
      <c r="V832" s="4" t="s">
        <v>25</v>
      </c>
      <c r="W832" s="4" t="s">
        <v>2278</v>
      </c>
      <c r="X832" s="4" t="s">
        <v>2224</v>
      </c>
      <c r="Y832" s="4" t="s">
        <v>2384</v>
      </c>
      <c r="Z832" s="6">
        <v>10979.58</v>
      </c>
      <c r="AA832" s="6">
        <v>131754.96</v>
      </c>
      <c r="AB832" s="4" t="s">
        <v>2232</v>
      </c>
      <c r="AC832" s="7" t="s">
        <v>2224</v>
      </c>
    </row>
    <row r="833" spans="1:29" ht="15" customHeight="1" collapsed="1" thickBot="1" x14ac:dyDescent="0.3">
      <c r="A833" s="20" t="str">
        <f>CONCATENATE("521"," - ","MR", " ","Stephanus"," ", "Neethling")</f>
        <v>521 - MR Stephanus Neethling</v>
      </c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2"/>
    </row>
    <row r="834" spans="1:29" ht="15" hidden="1" customHeight="1" outlineLevel="1" thickBot="1" x14ac:dyDescent="0.3">
      <c r="A834" s="4" t="s">
        <v>3526</v>
      </c>
      <c r="B834" s="4" t="s">
        <v>275</v>
      </c>
      <c r="C834" s="4" t="s">
        <v>2220</v>
      </c>
      <c r="D834" s="5">
        <v>42962.462500000001</v>
      </c>
      <c r="E834" s="4" t="s">
        <v>2221</v>
      </c>
      <c r="F834" s="4" t="s">
        <v>2222</v>
      </c>
      <c r="G834" s="4" t="s">
        <v>2014</v>
      </c>
      <c r="H834" s="4" t="s">
        <v>883</v>
      </c>
      <c r="I834" s="4" t="s">
        <v>1307</v>
      </c>
      <c r="J834" s="4" t="s">
        <v>1306</v>
      </c>
      <c r="K834" s="5">
        <v>28094</v>
      </c>
      <c r="L834" s="4" t="s">
        <v>3527</v>
      </c>
      <c r="M834" s="4" t="s">
        <v>9</v>
      </c>
      <c r="N834" s="5">
        <v>40770</v>
      </c>
      <c r="O834" s="5" t="s">
        <v>2224</v>
      </c>
      <c r="P834" s="4" t="s">
        <v>2224</v>
      </c>
      <c r="Q834" s="4" t="s">
        <v>3528</v>
      </c>
      <c r="R834" s="4" t="s">
        <v>2226</v>
      </c>
      <c r="S834" s="4" t="s">
        <v>2227</v>
      </c>
      <c r="T834" s="4" t="s">
        <v>2228</v>
      </c>
      <c r="U834" s="4" t="s">
        <v>2229</v>
      </c>
      <c r="V834" s="4" t="s">
        <v>116</v>
      </c>
      <c r="W834" s="4" t="s">
        <v>2230</v>
      </c>
      <c r="X834" s="4" t="s">
        <v>2224</v>
      </c>
      <c r="Y834" s="4" t="s">
        <v>2549</v>
      </c>
      <c r="Z834" s="6">
        <v>24999.99</v>
      </c>
      <c r="AA834" s="6">
        <v>299999.88</v>
      </c>
      <c r="AB834" s="4" t="s">
        <v>2232</v>
      </c>
      <c r="AC834" s="7" t="s">
        <v>2224</v>
      </c>
    </row>
    <row r="835" spans="1:29" ht="15" customHeight="1" collapsed="1" thickBot="1" x14ac:dyDescent="0.3">
      <c r="A835" s="20" t="str">
        <f>CONCATENATE("522"," - ","MR", " ","Johannes"," ", "Nel")</f>
        <v>522 - MR Johannes Nel</v>
      </c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2"/>
    </row>
    <row r="836" spans="1:29" ht="15" hidden="1" customHeight="1" outlineLevel="1" thickBot="1" x14ac:dyDescent="0.3">
      <c r="A836" s="4" t="s">
        <v>3529</v>
      </c>
      <c r="B836" s="4" t="s">
        <v>239</v>
      </c>
      <c r="C836" s="4" t="s">
        <v>2220</v>
      </c>
      <c r="D836" s="5">
        <v>42962.462500000001</v>
      </c>
      <c r="E836" s="4" t="s">
        <v>2221</v>
      </c>
      <c r="F836" s="4" t="s">
        <v>2222</v>
      </c>
      <c r="G836" s="4" t="s">
        <v>2014</v>
      </c>
      <c r="H836" s="4" t="s">
        <v>1240</v>
      </c>
      <c r="I836" s="4" t="s">
        <v>975</v>
      </c>
      <c r="J836" s="4" t="s">
        <v>1239</v>
      </c>
      <c r="K836" s="5">
        <v>29794</v>
      </c>
      <c r="L836" s="4" t="s">
        <v>3530</v>
      </c>
      <c r="M836" s="4" t="s">
        <v>9</v>
      </c>
      <c r="N836" s="5">
        <v>41190</v>
      </c>
      <c r="O836" s="5" t="s">
        <v>2224</v>
      </c>
      <c r="P836" s="4" t="s">
        <v>2224</v>
      </c>
      <c r="Q836" s="4" t="s">
        <v>3531</v>
      </c>
      <c r="R836" s="4" t="s">
        <v>2226</v>
      </c>
      <c r="S836" s="4" t="s">
        <v>2227</v>
      </c>
      <c r="T836" s="4" t="s">
        <v>2228</v>
      </c>
      <c r="U836" s="4" t="s">
        <v>2248</v>
      </c>
      <c r="V836" s="4" t="s">
        <v>240</v>
      </c>
      <c r="W836" s="4" t="s">
        <v>2249</v>
      </c>
      <c r="X836" s="4" t="s">
        <v>2224</v>
      </c>
      <c r="Y836" s="4" t="s">
        <v>2909</v>
      </c>
      <c r="Z836" s="6">
        <v>68822</v>
      </c>
      <c r="AA836" s="6">
        <v>825864</v>
      </c>
      <c r="AB836" s="4" t="s">
        <v>2232</v>
      </c>
      <c r="AC836" s="7" t="s">
        <v>2224</v>
      </c>
    </row>
    <row r="837" spans="1:29" ht="15" customHeight="1" collapsed="1" thickBot="1" x14ac:dyDescent="0.3">
      <c r="A837" s="20" t="str">
        <f>CONCATENATE("523"," - ","MR", " ","Martyn"," ", "Nell")</f>
        <v>523 - MR Martyn Nell</v>
      </c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2"/>
    </row>
    <row r="838" spans="1:29" ht="15" hidden="1" customHeight="1" outlineLevel="1" thickBot="1" x14ac:dyDescent="0.3">
      <c r="A838" s="4" t="s">
        <v>3532</v>
      </c>
      <c r="B838" s="4" t="s">
        <v>319</v>
      </c>
      <c r="C838" s="4" t="s">
        <v>2220</v>
      </c>
      <c r="D838" s="5">
        <v>42962.461805555555</v>
      </c>
      <c r="E838" s="4" t="s">
        <v>2221</v>
      </c>
      <c r="F838" s="4" t="s">
        <v>2222</v>
      </c>
      <c r="G838" s="4" t="s">
        <v>2014</v>
      </c>
      <c r="H838" s="4" t="s">
        <v>788</v>
      </c>
      <c r="I838" s="4" t="s">
        <v>1381</v>
      </c>
      <c r="J838" s="4" t="s">
        <v>1380</v>
      </c>
      <c r="K838" s="5">
        <v>20599</v>
      </c>
      <c r="L838" s="4" t="s">
        <v>3533</v>
      </c>
      <c r="M838" s="4" t="s">
        <v>9</v>
      </c>
      <c r="N838" s="5">
        <v>41232</v>
      </c>
      <c r="O838" s="5" t="s">
        <v>2224</v>
      </c>
      <c r="P838" s="4" t="s">
        <v>2224</v>
      </c>
      <c r="Q838" s="4" t="s">
        <v>3534</v>
      </c>
      <c r="R838" s="4" t="s">
        <v>2226</v>
      </c>
      <c r="S838" s="4" t="s">
        <v>2227</v>
      </c>
      <c r="T838" s="4" t="s">
        <v>2228</v>
      </c>
      <c r="U838" s="4" t="s">
        <v>2229</v>
      </c>
      <c r="V838" s="4" t="s">
        <v>75</v>
      </c>
      <c r="W838" s="4" t="s">
        <v>2249</v>
      </c>
      <c r="X838" s="4" t="s">
        <v>2224</v>
      </c>
      <c r="Y838" s="4" t="s">
        <v>2621</v>
      </c>
      <c r="Z838" s="6">
        <v>31221.703799999999</v>
      </c>
      <c r="AA838" s="6">
        <v>374660.45</v>
      </c>
      <c r="AB838" s="4" t="s">
        <v>2232</v>
      </c>
      <c r="AC838" s="7" t="s">
        <v>2224</v>
      </c>
    </row>
    <row r="839" spans="1:29" ht="15" customHeight="1" collapsed="1" thickBot="1" x14ac:dyDescent="0.3">
      <c r="A839" s="20" t="str">
        <f>CONCATENATE("524"," - ","MISS", " ","Nomatamsanqa"," ", "Nesi")</f>
        <v>524 - MISS Nomatamsanqa Nesi</v>
      </c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2"/>
    </row>
    <row r="840" spans="1:29" ht="15" hidden="1" customHeight="1" outlineLevel="1" thickBot="1" x14ac:dyDescent="0.3">
      <c r="A840" s="4" t="s">
        <v>3535</v>
      </c>
      <c r="B840" s="4" t="s">
        <v>326</v>
      </c>
      <c r="C840" s="4" t="s">
        <v>2220</v>
      </c>
      <c r="D840" s="5">
        <v>42962.461805555555</v>
      </c>
      <c r="E840" s="4" t="s">
        <v>2221</v>
      </c>
      <c r="F840" s="4" t="s">
        <v>2222</v>
      </c>
      <c r="G840" s="4" t="s">
        <v>2234</v>
      </c>
      <c r="H840" s="4" t="s">
        <v>797</v>
      </c>
      <c r="I840" s="4" t="s">
        <v>1394</v>
      </c>
      <c r="J840" s="4" t="s">
        <v>1393</v>
      </c>
      <c r="K840" s="5">
        <v>32887</v>
      </c>
      <c r="L840" s="4" t="s">
        <v>3536</v>
      </c>
      <c r="M840" s="4" t="s">
        <v>9</v>
      </c>
      <c r="N840" s="5">
        <v>41239</v>
      </c>
      <c r="O840" s="5" t="s">
        <v>2224</v>
      </c>
      <c r="P840" s="4" t="s">
        <v>2224</v>
      </c>
      <c r="Q840" s="4" t="s">
        <v>3537</v>
      </c>
      <c r="R840" s="4" t="s">
        <v>2226</v>
      </c>
      <c r="S840" s="4" t="s">
        <v>2793</v>
      </c>
      <c r="T840" s="4" t="s">
        <v>2228</v>
      </c>
      <c r="U840" s="4" t="s">
        <v>2229</v>
      </c>
      <c r="V840" s="4" t="s">
        <v>25</v>
      </c>
      <c r="W840" s="4" t="s">
        <v>2278</v>
      </c>
      <c r="X840" s="4" t="s">
        <v>2224</v>
      </c>
      <c r="Y840" s="4" t="s">
        <v>2469</v>
      </c>
      <c r="Z840" s="6">
        <v>8346.17</v>
      </c>
      <c r="AA840" s="6">
        <v>100154.04</v>
      </c>
      <c r="AB840" s="4" t="s">
        <v>2232</v>
      </c>
      <c r="AC840" s="7" t="s">
        <v>2224</v>
      </c>
    </row>
    <row r="841" spans="1:29" ht="15" customHeight="1" collapsed="1" thickBot="1" x14ac:dyDescent="0.3">
      <c r="A841" s="20" t="str">
        <f>CONCATENATE("525"," - ","MR", " ","Thato"," ", "Ngcem")</f>
        <v>525 - MR Thato Ngcem</v>
      </c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2"/>
    </row>
    <row r="842" spans="1:29" ht="15" hidden="1" customHeight="1" outlineLevel="1" thickBot="1" x14ac:dyDescent="0.3">
      <c r="A842" s="4" t="s">
        <v>3538</v>
      </c>
      <c r="B842" s="4" t="s">
        <v>96</v>
      </c>
      <c r="C842" s="4" t="s">
        <v>2220</v>
      </c>
      <c r="D842" s="5">
        <v>42962.461805555555</v>
      </c>
      <c r="E842" s="4" t="s">
        <v>2221</v>
      </c>
      <c r="F842" s="4" t="s">
        <v>2222</v>
      </c>
      <c r="G842" s="4" t="s">
        <v>2014</v>
      </c>
      <c r="H842" s="4" t="s">
        <v>819</v>
      </c>
      <c r="I842" s="4" t="s">
        <v>955</v>
      </c>
      <c r="J842" s="4" t="s">
        <v>954</v>
      </c>
      <c r="K842" s="5">
        <v>30354</v>
      </c>
      <c r="L842" s="4" t="s">
        <v>3539</v>
      </c>
      <c r="M842" s="4" t="s">
        <v>9</v>
      </c>
      <c r="N842" s="5">
        <v>39020</v>
      </c>
      <c r="O842" s="5" t="s">
        <v>2224</v>
      </c>
      <c r="P842" s="4" t="s">
        <v>2224</v>
      </c>
      <c r="Q842" s="4" t="s">
        <v>3540</v>
      </c>
      <c r="R842" s="4" t="s">
        <v>2226</v>
      </c>
      <c r="S842" s="4" t="s">
        <v>2227</v>
      </c>
      <c r="T842" s="4" t="s">
        <v>2228</v>
      </c>
      <c r="U842" s="4" t="s">
        <v>2248</v>
      </c>
      <c r="V842" s="4" t="s">
        <v>753</v>
      </c>
      <c r="W842" s="4" t="s">
        <v>2249</v>
      </c>
      <c r="X842" s="4" t="s">
        <v>2224</v>
      </c>
      <c r="Y842" s="4" t="s">
        <v>2621</v>
      </c>
      <c r="Z842" s="6">
        <v>26071.9018</v>
      </c>
      <c r="AA842" s="6">
        <v>312862.82</v>
      </c>
      <c r="AB842" s="4" t="s">
        <v>2232</v>
      </c>
      <c r="AC842" s="7" t="s">
        <v>2224</v>
      </c>
    </row>
    <row r="843" spans="1:29" ht="15" customHeight="1" collapsed="1" thickBot="1" x14ac:dyDescent="0.3">
      <c r="A843" s="20" t="str">
        <f>CONCATENATE("526"," - ","MR", " ","Batandwa"," ", "Ngcobo")</f>
        <v>526 - MR Batandwa Ngcobo</v>
      </c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2"/>
    </row>
    <row r="844" spans="1:29" ht="15" hidden="1" customHeight="1" outlineLevel="1" thickBot="1" x14ac:dyDescent="0.3">
      <c r="A844" s="4" t="s">
        <v>3541</v>
      </c>
      <c r="B844" s="4" t="s">
        <v>478</v>
      </c>
      <c r="C844" s="4" t="s">
        <v>2220</v>
      </c>
      <c r="D844" s="5">
        <v>42962.549999999996</v>
      </c>
      <c r="E844" s="4" t="s">
        <v>2221</v>
      </c>
      <c r="F844" s="4" t="s">
        <v>2222</v>
      </c>
      <c r="G844" s="4" t="s">
        <v>2014</v>
      </c>
      <c r="H844" s="4" t="s">
        <v>1679</v>
      </c>
      <c r="I844" s="4" t="s">
        <v>1690</v>
      </c>
      <c r="J844" s="4" t="s">
        <v>1675</v>
      </c>
      <c r="K844" s="5">
        <v>33793</v>
      </c>
      <c r="L844" s="4" t="s">
        <v>3542</v>
      </c>
      <c r="M844" s="4" t="s">
        <v>9</v>
      </c>
      <c r="N844" s="5">
        <v>41855</v>
      </c>
      <c r="O844" s="5" t="s">
        <v>2224</v>
      </c>
      <c r="P844" s="4" t="s">
        <v>2224</v>
      </c>
      <c r="Q844" s="4" t="s">
        <v>3543</v>
      </c>
      <c r="R844" s="4" t="s">
        <v>2226</v>
      </c>
      <c r="S844" s="4" t="s">
        <v>2227</v>
      </c>
      <c r="T844" s="4" t="s">
        <v>2228</v>
      </c>
      <c r="U844" s="4" t="s">
        <v>2237</v>
      </c>
      <c r="V844" s="4" t="s">
        <v>125</v>
      </c>
      <c r="W844" s="4" t="s">
        <v>2278</v>
      </c>
      <c r="X844" s="4" t="s">
        <v>2224</v>
      </c>
      <c r="Y844" s="4" t="s">
        <v>2239</v>
      </c>
      <c r="Z844" s="6">
        <v>20140.25</v>
      </c>
      <c r="AA844" s="6">
        <v>241683</v>
      </c>
      <c r="AB844" s="4" t="s">
        <v>2232</v>
      </c>
      <c r="AC844" s="7" t="s">
        <v>2224</v>
      </c>
    </row>
    <row r="845" spans="1:29" ht="15" customHeight="1" collapsed="1" thickBot="1" x14ac:dyDescent="0.3">
      <c r="A845" s="20" t="str">
        <f>CONCATENATE("527"," - ","MISS", " ","Nandipha"," ", "Ngcobo")</f>
        <v>527 - MISS Nandipha Ngcobo</v>
      </c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2"/>
    </row>
    <row r="846" spans="1:29" ht="15" hidden="1" customHeight="1" outlineLevel="1" thickBot="1" x14ac:dyDescent="0.3">
      <c r="A846" s="4" t="s">
        <v>3544</v>
      </c>
      <c r="B846" s="4" t="s">
        <v>472</v>
      </c>
      <c r="C846" s="4" t="s">
        <v>2220</v>
      </c>
      <c r="D846" s="5">
        <v>42962.461805555555</v>
      </c>
      <c r="E846" s="4" t="s">
        <v>2221</v>
      </c>
      <c r="F846" s="4" t="s">
        <v>2222</v>
      </c>
      <c r="G846" s="4" t="s">
        <v>2234</v>
      </c>
      <c r="H846" s="4" t="s">
        <v>1676</v>
      </c>
      <c r="I846" s="4" t="s">
        <v>1677</v>
      </c>
      <c r="J846" s="4" t="s">
        <v>1675</v>
      </c>
      <c r="K846" s="5">
        <v>32378</v>
      </c>
      <c r="L846" s="4" t="s">
        <v>3545</v>
      </c>
      <c r="M846" s="4" t="s">
        <v>9</v>
      </c>
      <c r="N846" s="5">
        <v>41821</v>
      </c>
      <c r="O846" s="5" t="s">
        <v>2224</v>
      </c>
      <c r="P846" s="4" t="s">
        <v>2224</v>
      </c>
      <c r="Q846" s="4" t="s">
        <v>3546</v>
      </c>
      <c r="R846" s="4" t="s">
        <v>2226</v>
      </c>
      <c r="S846" s="4" t="s">
        <v>2227</v>
      </c>
      <c r="T846" s="4" t="s">
        <v>2228</v>
      </c>
      <c r="U846" s="4" t="s">
        <v>2229</v>
      </c>
      <c r="V846" s="4" t="s">
        <v>25</v>
      </c>
      <c r="W846" s="4" t="s">
        <v>2278</v>
      </c>
      <c r="X846" s="4" t="s">
        <v>2224</v>
      </c>
      <c r="Y846" s="4" t="s">
        <v>2419</v>
      </c>
      <c r="Z846" s="6">
        <v>12373.6662</v>
      </c>
      <c r="AA846" s="6">
        <v>148483.99</v>
      </c>
      <c r="AB846" s="4" t="s">
        <v>2232</v>
      </c>
      <c r="AC846" s="7" t="s">
        <v>2224</v>
      </c>
    </row>
    <row r="847" spans="1:29" ht="15" customHeight="1" collapsed="1" thickBot="1" x14ac:dyDescent="0.3">
      <c r="A847" s="20" t="str">
        <f>CONCATENATE("528"," - ","MISS", " ","Yolanda"," ", "Ngcobo")</f>
        <v>528 - MISS Yolanda Ngcobo</v>
      </c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2"/>
    </row>
    <row r="848" spans="1:29" ht="15" hidden="1" customHeight="1" outlineLevel="1" thickBot="1" x14ac:dyDescent="0.3">
      <c r="A848" s="4" t="s">
        <v>3547</v>
      </c>
      <c r="B848" s="4" t="s">
        <v>527</v>
      </c>
      <c r="C848" s="4" t="s">
        <v>2220</v>
      </c>
      <c r="D848" s="5">
        <v>42962.461805555555</v>
      </c>
      <c r="E848" s="4" t="s">
        <v>2221</v>
      </c>
      <c r="F848" s="4" t="s">
        <v>2222</v>
      </c>
      <c r="G848" s="4" t="s">
        <v>2234</v>
      </c>
      <c r="H848" s="4" t="s">
        <v>1783</v>
      </c>
      <c r="I848" s="4" t="s">
        <v>1330</v>
      </c>
      <c r="J848" s="4" t="s">
        <v>1675</v>
      </c>
      <c r="K848" s="5">
        <v>30859</v>
      </c>
      <c r="L848" s="4" t="s">
        <v>3548</v>
      </c>
      <c r="M848" s="4" t="s">
        <v>9</v>
      </c>
      <c r="N848" s="5">
        <v>42072</v>
      </c>
      <c r="O848" s="5" t="s">
        <v>2224</v>
      </c>
      <c r="P848" s="4" t="s">
        <v>2224</v>
      </c>
      <c r="Q848" s="4" t="s">
        <v>3549</v>
      </c>
      <c r="R848" s="4" t="s">
        <v>2226</v>
      </c>
      <c r="S848" s="4" t="s">
        <v>2227</v>
      </c>
      <c r="T848" s="4" t="s">
        <v>2228</v>
      </c>
      <c r="U848" s="4" t="s">
        <v>2229</v>
      </c>
      <c r="V848" s="4" t="s">
        <v>25</v>
      </c>
      <c r="W848" s="4" t="s">
        <v>2278</v>
      </c>
      <c r="X848" s="4" t="s">
        <v>2224</v>
      </c>
      <c r="Y848" s="4" t="s">
        <v>2568</v>
      </c>
      <c r="Z848" s="6">
        <v>10710.15</v>
      </c>
      <c r="AA848" s="6">
        <v>128521.8</v>
      </c>
      <c r="AB848" s="4" t="s">
        <v>2232</v>
      </c>
      <c r="AC848" s="7" t="s">
        <v>2224</v>
      </c>
    </row>
    <row r="849" spans="1:29" ht="15" customHeight="1" collapsed="1" thickBot="1" x14ac:dyDescent="0.3">
      <c r="A849" s="20" t="str">
        <f>CONCATENATE("529"," - ","MS", " ","Sisanda"," ", "Ngema")</f>
        <v>529 - MS Sisanda Ngema</v>
      </c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2"/>
    </row>
    <row r="850" spans="1:29" ht="15" hidden="1" customHeight="1" outlineLevel="1" thickBot="1" x14ac:dyDescent="0.3">
      <c r="A850" s="4" t="s">
        <v>3550</v>
      </c>
      <c r="B850" s="4" t="s">
        <v>697</v>
      </c>
      <c r="C850" s="4" t="s">
        <v>2220</v>
      </c>
      <c r="D850" s="5">
        <v>42962.549999999996</v>
      </c>
      <c r="E850" s="4" t="s">
        <v>2221</v>
      </c>
      <c r="F850" s="4" t="s">
        <v>2222</v>
      </c>
      <c r="G850" s="4" t="s">
        <v>813</v>
      </c>
      <c r="H850" s="4" t="s">
        <v>2060</v>
      </c>
      <c r="I850" s="4" t="s">
        <v>2061</v>
      </c>
      <c r="J850" s="4" t="s">
        <v>2059</v>
      </c>
      <c r="K850" s="5">
        <v>35158</v>
      </c>
      <c r="L850" s="4" t="s">
        <v>3551</v>
      </c>
      <c r="M850" s="4" t="s">
        <v>9</v>
      </c>
      <c r="N850" s="5">
        <v>42527</v>
      </c>
      <c r="O850" s="5" t="s">
        <v>2224</v>
      </c>
      <c r="P850" s="4" t="s">
        <v>2224</v>
      </c>
      <c r="Q850" s="4" t="s">
        <v>3552</v>
      </c>
      <c r="R850" s="4" t="s">
        <v>2226</v>
      </c>
      <c r="S850" s="4" t="s">
        <v>2227</v>
      </c>
      <c r="T850" s="4" t="s">
        <v>2228</v>
      </c>
      <c r="U850" s="4" t="s">
        <v>2237</v>
      </c>
      <c r="V850" s="4" t="s">
        <v>125</v>
      </c>
      <c r="W850" s="4" t="s">
        <v>2278</v>
      </c>
      <c r="X850" s="4" t="s">
        <v>2224</v>
      </c>
      <c r="Y850" s="4" t="s">
        <v>2239</v>
      </c>
      <c r="Z850" s="6">
        <v>16081.7</v>
      </c>
      <c r="AA850" s="6">
        <v>192980.4</v>
      </c>
      <c r="AB850" s="4" t="s">
        <v>2232</v>
      </c>
      <c r="AC850" s="7" t="s">
        <v>2224</v>
      </c>
    </row>
    <row r="851" spans="1:29" ht="15" customHeight="1" collapsed="1" thickBot="1" x14ac:dyDescent="0.3">
      <c r="A851" s="20" t="str">
        <f>CONCATENATE("530"," - ","MR", " ","Enock"," ", "Ngobeni")</f>
        <v>530 - MR Enock Ngobeni</v>
      </c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2"/>
    </row>
    <row r="852" spans="1:29" ht="15" hidden="1" customHeight="1" outlineLevel="1" thickBot="1" x14ac:dyDescent="0.3">
      <c r="A852" s="4" t="s">
        <v>3553</v>
      </c>
      <c r="B852" s="4" t="s">
        <v>557</v>
      </c>
      <c r="C852" s="4" t="s">
        <v>2220</v>
      </c>
      <c r="D852" s="5">
        <v>42962.461805555555</v>
      </c>
      <c r="E852" s="4" t="s">
        <v>2221</v>
      </c>
      <c r="F852" s="4" t="s">
        <v>2222</v>
      </c>
      <c r="G852" s="4" t="s">
        <v>2014</v>
      </c>
      <c r="H852" s="4" t="s">
        <v>816</v>
      </c>
      <c r="I852" s="4" t="s">
        <v>1834</v>
      </c>
      <c r="J852" s="4" t="s">
        <v>1833</v>
      </c>
      <c r="K852" s="5">
        <v>33495</v>
      </c>
      <c r="L852" s="4" t="s">
        <v>3554</v>
      </c>
      <c r="M852" s="4" t="s">
        <v>9</v>
      </c>
      <c r="N852" s="5">
        <v>41508</v>
      </c>
      <c r="O852" s="5" t="s">
        <v>2224</v>
      </c>
      <c r="P852" s="4" t="s">
        <v>2224</v>
      </c>
      <c r="Q852" s="4" t="s">
        <v>3555</v>
      </c>
      <c r="R852" s="4" t="s">
        <v>2226</v>
      </c>
      <c r="S852" s="4" t="s">
        <v>2227</v>
      </c>
      <c r="T852" s="4" t="s">
        <v>2228</v>
      </c>
      <c r="U852" s="4" t="s">
        <v>2229</v>
      </c>
      <c r="V852" s="4" t="s">
        <v>25</v>
      </c>
      <c r="W852" s="4" t="s">
        <v>2278</v>
      </c>
      <c r="X852" s="4" t="s">
        <v>2224</v>
      </c>
      <c r="Y852" s="4" t="s">
        <v>2384</v>
      </c>
      <c r="Z852" s="6">
        <v>11116.82</v>
      </c>
      <c r="AA852" s="6">
        <v>133401.84</v>
      </c>
      <c r="AB852" s="4" t="s">
        <v>2232</v>
      </c>
      <c r="AC852" s="7" t="s">
        <v>2224</v>
      </c>
    </row>
    <row r="853" spans="1:29" ht="15" customHeight="1" collapsed="1" thickBot="1" x14ac:dyDescent="0.3">
      <c r="A853" s="20" t="str">
        <f>CONCATENATE("531"," - ","MISS", " ","SHALOM"," ", "NGOQO")</f>
        <v>531 - MISS SHALOM NGOQO</v>
      </c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2"/>
    </row>
    <row r="854" spans="1:29" ht="15" hidden="1" customHeight="1" outlineLevel="1" thickBot="1" x14ac:dyDescent="0.3">
      <c r="A854" s="4" t="s">
        <v>3556</v>
      </c>
      <c r="B854" s="4" t="s">
        <v>172</v>
      </c>
      <c r="C854" s="4" t="s">
        <v>2220</v>
      </c>
      <c r="D854" s="5">
        <v>42962.461805555555</v>
      </c>
      <c r="E854" s="4" t="s">
        <v>2221</v>
      </c>
      <c r="F854" s="4" t="s">
        <v>2222</v>
      </c>
      <c r="G854" s="4" t="s">
        <v>2234</v>
      </c>
      <c r="H854" s="4" t="s">
        <v>800</v>
      </c>
      <c r="I854" s="4" t="s">
        <v>1103</v>
      </c>
      <c r="J854" s="4" t="s">
        <v>1102</v>
      </c>
      <c r="K854" s="5">
        <v>29742</v>
      </c>
      <c r="L854" s="4" t="s">
        <v>3557</v>
      </c>
      <c r="M854" s="4" t="s">
        <v>9</v>
      </c>
      <c r="N854" s="5">
        <v>39387</v>
      </c>
      <c r="O854" s="5" t="s">
        <v>2224</v>
      </c>
      <c r="P854" s="4" t="s">
        <v>2224</v>
      </c>
      <c r="Q854" s="4" t="s">
        <v>3558</v>
      </c>
      <c r="R854" s="4" t="s">
        <v>2226</v>
      </c>
      <c r="S854" s="4" t="s">
        <v>2227</v>
      </c>
      <c r="T854" s="4" t="s">
        <v>2228</v>
      </c>
      <c r="U854" s="4" t="s">
        <v>2229</v>
      </c>
      <c r="V854" s="4" t="s">
        <v>25</v>
      </c>
      <c r="W854" s="4" t="s">
        <v>2278</v>
      </c>
      <c r="X854" s="4" t="s">
        <v>2224</v>
      </c>
      <c r="Y854" s="4" t="s">
        <v>2231</v>
      </c>
      <c r="Z854" s="6">
        <v>17112.251499999998</v>
      </c>
      <c r="AA854" s="6">
        <v>205347.02</v>
      </c>
      <c r="AB854" s="4" t="s">
        <v>2232</v>
      </c>
      <c r="AC854" s="7" t="s">
        <v>2224</v>
      </c>
    </row>
    <row r="855" spans="1:29" ht="15" customHeight="1" collapsed="1" thickBot="1" x14ac:dyDescent="0.3">
      <c r="A855" s="20" t="str">
        <f>CONCATENATE("532"," - ","MISS", " ","Puleng"," ", "Ngubane")</f>
        <v>532 - MISS Puleng Ngubane</v>
      </c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2"/>
    </row>
    <row r="856" spans="1:29" ht="15" hidden="1" customHeight="1" outlineLevel="1" thickBot="1" x14ac:dyDescent="0.3">
      <c r="A856" s="4" t="s">
        <v>3559</v>
      </c>
      <c r="B856" s="4" t="s">
        <v>551</v>
      </c>
      <c r="C856" s="4" t="s">
        <v>2220</v>
      </c>
      <c r="D856" s="5">
        <v>42962.549999999996</v>
      </c>
      <c r="E856" s="4" t="s">
        <v>2221</v>
      </c>
      <c r="F856" s="4" t="s">
        <v>2222</v>
      </c>
      <c r="G856" s="4" t="s">
        <v>2234</v>
      </c>
      <c r="H856" s="4" t="s">
        <v>781</v>
      </c>
      <c r="I856" s="4" t="s">
        <v>1825</v>
      </c>
      <c r="J856" s="4" t="s">
        <v>1824</v>
      </c>
      <c r="K856" s="5">
        <v>34018</v>
      </c>
      <c r="L856" s="4" t="s">
        <v>3560</v>
      </c>
      <c r="M856" s="4" t="s">
        <v>9</v>
      </c>
      <c r="N856" s="5">
        <v>42072</v>
      </c>
      <c r="O856" s="5" t="s">
        <v>2224</v>
      </c>
      <c r="P856" s="4" t="s">
        <v>2224</v>
      </c>
      <c r="Q856" s="4" t="s">
        <v>3561</v>
      </c>
      <c r="R856" s="4" t="s">
        <v>2226</v>
      </c>
      <c r="S856" s="4" t="s">
        <v>2227</v>
      </c>
      <c r="T856" s="4" t="s">
        <v>2228</v>
      </c>
      <c r="U856" s="4" t="s">
        <v>2237</v>
      </c>
      <c r="V856" s="4" t="s">
        <v>8</v>
      </c>
      <c r="W856" s="4" t="s">
        <v>2278</v>
      </c>
      <c r="X856" s="4" t="s">
        <v>2224</v>
      </c>
      <c r="Y856" s="4" t="s">
        <v>2239</v>
      </c>
      <c r="Z856" s="6">
        <v>16081.7</v>
      </c>
      <c r="AA856" s="6">
        <v>192980.4</v>
      </c>
      <c r="AB856" s="4" t="s">
        <v>2232</v>
      </c>
      <c r="AC856" s="7" t="s">
        <v>2224</v>
      </c>
    </row>
    <row r="857" spans="1:29" ht="15" customHeight="1" collapsed="1" thickBot="1" x14ac:dyDescent="0.3">
      <c r="A857" s="20" t="str">
        <f>CONCATENATE("533"," - ","MISS", " ","Nompumelelo"," ", "Ngwenya")</f>
        <v>533 - MISS Nompumelelo Ngwenya</v>
      </c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2"/>
    </row>
    <row r="858" spans="1:29" ht="15" hidden="1" customHeight="1" outlineLevel="1" thickBot="1" x14ac:dyDescent="0.3">
      <c r="A858" s="4" t="s">
        <v>3562</v>
      </c>
      <c r="B858" s="4" t="s">
        <v>419</v>
      </c>
      <c r="C858" s="4" t="s">
        <v>2220</v>
      </c>
      <c r="D858" s="5">
        <v>42962.549999999996</v>
      </c>
      <c r="E858" s="4" t="s">
        <v>2221</v>
      </c>
      <c r="F858" s="4" t="s">
        <v>2222</v>
      </c>
      <c r="G858" s="4" t="s">
        <v>2234</v>
      </c>
      <c r="H858" s="4" t="s">
        <v>1566</v>
      </c>
      <c r="I858" s="4" t="s">
        <v>1324</v>
      </c>
      <c r="J858" s="4" t="s">
        <v>1565</v>
      </c>
      <c r="K858" s="5">
        <v>27137</v>
      </c>
      <c r="L858" s="4" t="s">
        <v>3563</v>
      </c>
      <c r="M858" s="4" t="s">
        <v>9</v>
      </c>
      <c r="N858" s="5">
        <v>41556</v>
      </c>
      <c r="O858" s="5" t="s">
        <v>2224</v>
      </c>
      <c r="P858" s="4" t="s">
        <v>2224</v>
      </c>
      <c r="Q858" s="4" t="s">
        <v>3564</v>
      </c>
      <c r="R858" s="4" t="s">
        <v>2226</v>
      </c>
      <c r="S858" s="4" t="s">
        <v>2227</v>
      </c>
      <c r="T858" s="4" t="s">
        <v>2228</v>
      </c>
      <c r="U858" s="4" t="s">
        <v>2237</v>
      </c>
      <c r="V858" s="4" t="s">
        <v>125</v>
      </c>
      <c r="W858" s="4" t="s">
        <v>2278</v>
      </c>
      <c r="X858" s="4" t="s">
        <v>2224</v>
      </c>
      <c r="Y858" s="4" t="s">
        <v>2239</v>
      </c>
      <c r="Z858" s="6">
        <v>20140.25</v>
      </c>
      <c r="AA858" s="6">
        <v>241683</v>
      </c>
      <c r="AB858" s="4" t="s">
        <v>2232</v>
      </c>
      <c r="AC858" s="7" t="s">
        <v>2224</v>
      </c>
    </row>
    <row r="859" spans="1:29" ht="15" customHeight="1" collapsed="1" thickBot="1" x14ac:dyDescent="0.3">
      <c r="A859" s="20" t="str">
        <f>CONCATENATE("535"," - ","MISS", " ","Nina"," ", "Nkabinde")</f>
        <v>535 - MISS Nina Nkabinde</v>
      </c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2"/>
    </row>
    <row r="860" spans="1:29" ht="15" hidden="1" customHeight="1" outlineLevel="1" thickBot="1" x14ac:dyDescent="0.3">
      <c r="A860" s="4" t="s">
        <v>3565</v>
      </c>
      <c r="B860" s="4" t="s">
        <v>316</v>
      </c>
      <c r="C860" s="4" t="s">
        <v>2220</v>
      </c>
      <c r="D860" s="5">
        <v>42962.549999999996</v>
      </c>
      <c r="E860" s="4" t="s">
        <v>2221</v>
      </c>
      <c r="F860" s="4" t="s">
        <v>2222</v>
      </c>
      <c r="G860" s="4" t="s">
        <v>2234</v>
      </c>
      <c r="H860" s="4" t="s">
        <v>797</v>
      </c>
      <c r="I860" s="4" t="s">
        <v>1374</v>
      </c>
      <c r="J860" s="4" t="s">
        <v>1373</v>
      </c>
      <c r="K860" s="5">
        <v>33908</v>
      </c>
      <c r="L860" s="4" t="s">
        <v>3566</v>
      </c>
      <c r="M860" s="4" t="s">
        <v>9</v>
      </c>
      <c r="N860" s="5">
        <v>41166</v>
      </c>
      <c r="O860" s="5" t="s">
        <v>2224</v>
      </c>
      <c r="P860" s="4" t="s">
        <v>2224</v>
      </c>
      <c r="Q860" s="4" t="s">
        <v>3567</v>
      </c>
      <c r="R860" s="4" t="s">
        <v>2226</v>
      </c>
      <c r="S860" s="4" t="s">
        <v>2793</v>
      </c>
      <c r="T860" s="4" t="s">
        <v>2228</v>
      </c>
      <c r="U860" s="4" t="s">
        <v>2237</v>
      </c>
      <c r="V860" s="4" t="s">
        <v>125</v>
      </c>
      <c r="W860" s="4" t="s">
        <v>2230</v>
      </c>
      <c r="X860" s="4" t="s">
        <v>2224</v>
      </c>
      <c r="Y860" s="4" t="s">
        <v>2239</v>
      </c>
      <c r="Z860" s="6">
        <v>10196</v>
      </c>
      <c r="AA860" s="6">
        <v>122352</v>
      </c>
      <c r="AB860" s="4" t="s">
        <v>2232</v>
      </c>
      <c r="AC860" s="7" t="s">
        <v>2224</v>
      </c>
    </row>
    <row r="861" spans="1:29" ht="15" customHeight="1" collapsed="1" thickBot="1" x14ac:dyDescent="0.3">
      <c r="A861" s="20" t="str">
        <f>CONCATENATE("536"," - ","MISS", " ","Mathapelo"," ", "Nkadimeng")</f>
        <v>536 - MISS Mathapelo Nkadimeng</v>
      </c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2"/>
    </row>
    <row r="862" spans="1:29" ht="15" hidden="1" customHeight="1" outlineLevel="1" thickBot="1" x14ac:dyDescent="0.3">
      <c r="A862" s="4" t="s">
        <v>3568</v>
      </c>
      <c r="B862" s="4" t="s">
        <v>560</v>
      </c>
      <c r="C862" s="4" t="s">
        <v>2220</v>
      </c>
      <c r="D862" s="5">
        <v>42962.461805555555</v>
      </c>
      <c r="E862" s="4" t="s">
        <v>2221</v>
      </c>
      <c r="F862" s="4" t="s">
        <v>2222</v>
      </c>
      <c r="G862" s="4" t="s">
        <v>2234</v>
      </c>
      <c r="H862" s="4" t="s">
        <v>1838</v>
      </c>
      <c r="I862" s="4" t="s">
        <v>1839</v>
      </c>
      <c r="J862" s="4" t="s">
        <v>1837</v>
      </c>
      <c r="K862" s="5">
        <v>32921</v>
      </c>
      <c r="L862" s="4" t="s">
        <v>3569</v>
      </c>
      <c r="M862" s="4" t="s">
        <v>9</v>
      </c>
      <c r="N862" s="5">
        <v>42128</v>
      </c>
      <c r="O862" s="5" t="s">
        <v>2224</v>
      </c>
      <c r="P862" s="4" t="s">
        <v>2224</v>
      </c>
      <c r="Q862" s="4" t="s">
        <v>3570</v>
      </c>
      <c r="R862" s="4" t="s">
        <v>2226</v>
      </c>
      <c r="S862" s="4" t="s">
        <v>2227</v>
      </c>
      <c r="T862" s="4" t="s">
        <v>2228</v>
      </c>
      <c r="U862" s="4" t="s">
        <v>2229</v>
      </c>
      <c r="V862" s="4" t="s">
        <v>25</v>
      </c>
      <c r="W862" s="4" t="s">
        <v>2278</v>
      </c>
      <c r="X862" s="4" t="s">
        <v>2224</v>
      </c>
      <c r="Y862" s="4" t="s">
        <v>2384</v>
      </c>
      <c r="Z862" s="6">
        <v>10844.03</v>
      </c>
      <c r="AA862" s="6">
        <v>130128.36</v>
      </c>
      <c r="AB862" s="4" t="s">
        <v>2232</v>
      </c>
      <c r="AC862" s="7" t="s">
        <v>2224</v>
      </c>
    </row>
    <row r="863" spans="1:29" ht="15" customHeight="1" collapsed="1" thickBot="1" x14ac:dyDescent="0.3">
      <c r="A863" s="20" t="str">
        <f>CONCATENATE("537"," - ","MRS", " ","Nobuhleekhabo"," ", "Nkosi")</f>
        <v>537 - MRS Nobuhleekhabo Nkosi</v>
      </c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2"/>
    </row>
    <row r="864" spans="1:29" ht="15" hidden="1" customHeight="1" outlineLevel="1" thickBot="1" x14ac:dyDescent="0.3">
      <c r="A864" s="4" t="s">
        <v>3571</v>
      </c>
      <c r="B864" s="4" t="s">
        <v>243</v>
      </c>
      <c r="C864" s="4" t="s">
        <v>2220</v>
      </c>
      <c r="D864" s="5">
        <v>42962.461805555555</v>
      </c>
      <c r="E864" s="4" t="s">
        <v>2221</v>
      </c>
      <c r="F864" s="4" t="s">
        <v>2222</v>
      </c>
      <c r="G864" s="4" t="s">
        <v>2280</v>
      </c>
      <c r="H864" s="4" t="s">
        <v>1244</v>
      </c>
      <c r="I864" s="4" t="s">
        <v>1245</v>
      </c>
      <c r="J864" s="4" t="s">
        <v>1026</v>
      </c>
      <c r="K864" s="5">
        <v>29913</v>
      </c>
      <c r="L864" s="4" t="s">
        <v>3572</v>
      </c>
      <c r="M864" s="4" t="s">
        <v>9</v>
      </c>
      <c r="N864" s="5">
        <v>40445</v>
      </c>
      <c r="O864" s="5" t="s">
        <v>2224</v>
      </c>
      <c r="P864" s="4" t="s">
        <v>2224</v>
      </c>
      <c r="Q864" s="4" t="s">
        <v>3573</v>
      </c>
      <c r="R864" s="4" t="s">
        <v>2226</v>
      </c>
      <c r="S864" s="4" t="s">
        <v>2793</v>
      </c>
      <c r="T864" s="4" t="s">
        <v>2228</v>
      </c>
      <c r="U864" s="4" t="s">
        <v>2229</v>
      </c>
      <c r="V864" s="4" t="s">
        <v>17</v>
      </c>
      <c r="W864" s="4" t="s">
        <v>2230</v>
      </c>
      <c r="X864" s="4" t="s">
        <v>2224</v>
      </c>
      <c r="Y864" s="4" t="s">
        <v>2384</v>
      </c>
      <c r="Z864" s="6">
        <v>10583.15</v>
      </c>
      <c r="AA864" s="6">
        <v>126997.8</v>
      </c>
      <c r="AB864" s="4" t="s">
        <v>2232</v>
      </c>
      <c r="AC864" s="7" t="s">
        <v>2224</v>
      </c>
    </row>
    <row r="865" spans="1:29" ht="15" customHeight="1" collapsed="1" thickBot="1" x14ac:dyDescent="0.3">
      <c r="A865" s="20" t="str">
        <f>CONCATENATE("538"," - ","MISS", " ","Witness"," ", "Nkosi")</f>
        <v>538 - MISS Witness Nkosi</v>
      </c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2"/>
    </row>
    <row r="866" spans="1:29" ht="15" hidden="1" customHeight="1" outlineLevel="1" thickBot="1" x14ac:dyDescent="0.3">
      <c r="A866" s="4" t="s">
        <v>3574</v>
      </c>
      <c r="B866" s="4" t="s">
        <v>136</v>
      </c>
      <c r="C866" s="4" t="s">
        <v>2220</v>
      </c>
      <c r="D866" s="5">
        <v>42962.461111111108</v>
      </c>
      <c r="E866" s="4" t="s">
        <v>2221</v>
      </c>
      <c r="F866" s="4" t="s">
        <v>2222</v>
      </c>
      <c r="G866" s="4" t="s">
        <v>2234</v>
      </c>
      <c r="H866" s="4" t="s">
        <v>1027</v>
      </c>
      <c r="I866" s="4" t="s">
        <v>1028</v>
      </c>
      <c r="J866" s="4" t="s">
        <v>1026</v>
      </c>
      <c r="K866" s="5">
        <v>26392</v>
      </c>
      <c r="L866" s="4" t="s">
        <v>3575</v>
      </c>
      <c r="M866" s="4" t="s">
        <v>9</v>
      </c>
      <c r="N866" s="5">
        <v>39125</v>
      </c>
      <c r="O866" s="5" t="s">
        <v>2224</v>
      </c>
      <c r="P866" s="4" t="s">
        <v>2224</v>
      </c>
      <c r="Q866" s="4" t="s">
        <v>3576</v>
      </c>
      <c r="R866" s="4" t="s">
        <v>2226</v>
      </c>
      <c r="S866" s="4" t="s">
        <v>2227</v>
      </c>
      <c r="T866" s="4" t="s">
        <v>2228</v>
      </c>
      <c r="U866" s="4" t="s">
        <v>2229</v>
      </c>
      <c r="V866" s="4" t="s">
        <v>25</v>
      </c>
      <c r="W866" s="4" t="s">
        <v>2278</v>
      </c>
      <c r="X866" s="4" t="s">
        <v>2224</v>
      </c>
      <c r="Y866" s="4" t="s">
        <v>2394</v>
      </c>
      <c r="Z866" s="6">
        <v>17112.251499999998</v>
      </c>
      <c r="AA866" s="6">
        <v>205347.02</v>
      </c>
      <c r="AB866" s="4" t="s">
        <v>2232</v>
      </c>
      <c r="AC866" s="7" t="s">
        <v>2224</v>
      </c>
    </row>
    <row r="867" spans="1:29" ht="15" customHeight="1" collapsed="1" thickBot="1" x14ac:dyDescent="0.3">
      <c r="A867" s="20" t="str">
        <f>CONCATENATE("539"," - ","MR", " ","Simphiwe"," ", "Nkwateni")</f>
        <v>539 - MR Simphiwe Nkwateni</v>
      </c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2"/>
    </row>
    <row r="868" spans="1:29" ht="15" hidden="1" customHeight="1" outlineLevel="1" thickBot="1" x14ac:dyDescent="0.3">
      <c r="A868" s="4" t="s">
        <v>3577</v>
      </c>
      <c r="B868" s="4" t="s">
        <v>263</v>
      </c>
      <c r="C868" s="4" t="s">
        <v>2220</v>
      </c>
      <c r="D868" s="5">
        <v>42962.462500000001</v>
      </c>
      <c r="E868" s="4" t="s">
        <v>2221</v>
      </c>
      <c r="F868" s="4" t="s">
        <v>2222</v>
      </c>
      <c r="G868" s="4" t="s">
        <v>2014</v>
      </c>
      <c r="H868" s="4" t="s">
        <v>800</v>
      </c>
      <c r="I868" s="4" t="s">
        <v>1281</v>
      </c>
      <c r="J868" s="4" t="s">
        <v>1280</v>
      </c>
      <c r="K868" s="5">
        <v>27513</v>
      </c>
      <c r="L868" s="4" t="s">
        <v>3578</v>
      </c>
      <c r="M868" s="4" t="s">
        <v>9</v>
      </c>
      <c r="N868" s="5">
        <v>40633</v>
      </c>
      <c r="O868" s="5" t="s">
        <v>2224</v>
      </c>
      <c r="P868" s="4" t="s">
        <v>2224</v>
      </c>
      <c r="Q868" s="4" t="s">
        <v>3579</v>
      </c>
      <c r="R868" s="4" t="s">
        <v>2226</v>
      </c>
      <c r="S868" s="4" t="s">
        <v>2227</v>
      </c>
      <c r="T868" s="4" t="s">
        <v>2228</v>
      </c>
      <c r="U868" s="4" t="s">
        <v>2229</v>
      </c>
      <c r="V868" s="4" t="s">
        <v>116</v>
      </c>
      <c r="W868" s="4" t="s">
        <v>2249</v>
      </c>
      <c r="X868" s="4" t="s">
        <v>2224</v>
      </c>
      <c r="Y868" s="4" t="s">
        <v>2549</v>
      </c>
      <c r="Z868" s="6">
        <v>27666.34</v>
      </c>
      <c r="AA868" s="6">
        <v>331996.08</v>
      </c>
      <c r="AB868" s="4" t="s">
        <v>2232</v>
      </c>
      <c r="AC868" s="7" t="s">
        <v>2224</v>
      </c>
    </row>
    <row r="869" spans="1:29" ht="15" customHeight="1" collapsed="1" thickBot="1" x14ac:dyDescent="0.3">
      <c r="A869" s="20" t="str">
        <f>CONCATENATE("540"," - ","MR", " ","Akhona"," ", "Nkwezi")</f>
        <v>540 - MR Akhona Nkwezi</v>
      </c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2"/>
    </row>
    <row r="870" spans="1:29" ht="15" hidden="1" customHeight="1" outlineLevel="1" thickBot="1" x14ac:dyDescent="0.3">
      <c r="A870" s="4" t="s">
        <v>3580</v>
      </c>
      <c r="B870" s="4" t="s">
        <v>97</v>
      </c>
      <c r="C870" s="4" t="s">
        <v>2220</v>
      </c>
      <c r="D870" s="5">
        <v>42962.461805555555</v>
      </c>
      <c r="E870" s="4" t="s">
        <v>2221</v>
      </c>
      <c r="F870" s="4" t="s">
        <v>2222</v>
      </c>
      <c r="G870" s="4" t="s">
        <v>2014</v>
      </c>
      <c r="H870" s="4" t="s">
        <v>742</v>
      </c>
      <c r="I870" s="4" t="s">
        <v>957</v>
      </c>
      <c r="J870" s="4" t="s">
        <v>956</v>
      </c>
      <c r="K870" s="5">
        <v>30859</v>
      </c>
      <c r="L870" s="4" t="s">
        <v>3581</v>
      </c>
      <c r="M870" s="4" t="s">
        <v>9</v>
      </c>
      <c r="N870" s="5">
        <v>39020</v>
      </c>
      <c r="O870" s="5" t="s">
        <v>2224</v>
      </c>
      <c r="P870" s="4" t="s">
        <v>2224</v>
      </c>
      <c r="Q870" s="4" t="s">
        <v>3582</v>
      </c>
      <c r="R870" s="4" t="s">
        <v>2226</v>
      </c>
      <c r="S870" s="4" t="s">
        <v>2227</v>
      </c>
      <c r="T870" s="4" t="s">
        <v>2228</v>
      </c>
      <c r="U870" s="4" t="s">
        <v>2229</v>
      </c>
      <c r="V870" s="4" t="s">
        <v>17</v>
      </c>
      <c r="W870" s="4" t="s">
        <v>2230</v>
      </c>
      <c r="X870" s="4" t="s">
        <v>2224</v>
      </c>
      <c r="Y870" s="4" t="s">
        <v>2231</v>
      </c>
      <c r="Z870" s="6">
        <v>19891.612099999998</v>
      </c>
      <c r="AA870" s="6">
        <v>238699.35</v>
      </c>
      <c r="AB870" s="4" t="s">
        <v>2232</v>
      </c>
      <c r="AC870" s="7" t="s">
        <v>2224</v>
      </c>
    </row>
    <row r="871" spans="1:29" ht="15" customHeight="1" collapsed="1" thickBot="1" x14ac:dyDescent="0.3">
      <c r="A871" s="20" t="str">
        <f>CONCATENATE("541"," - ","MISS", " ","Kim"," ", "Noack")</f>
        <v>541 - MISS Kim Noack</v>
      </c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2"/>
    </row>
    <row r="872" spans="1:29" ht="15" hidden="1" customHeight="1" outlineLevel="1" thickBot="1" x14ac:dyDescent="0.3">
      <c r="A872" s="4" t="s">
        <v>3583</v>
      </c>
      <c r="B872" s="4" t="s">
        <v>330</v>
      </c>
      <c r="C872" s="4" t="s">
        <v>2220</v>
      </c>
      <c r="D872" s="5">
        <v>42962.549999999996</v>
      </c>
      <c r="E872" s="4" t="s">
        <v>2221</v>
      </c>
      <c r="F872" s="4" t="s">
        <v>2222</v>
      </c>
      <c r="G872" s="4" t="s">
        <v>2234</v>
      </c>
      <c r="H872" s="4" t="s">
        <v>1120</v>
      </c>
      <c r="I872" s="4" t="s">
        <v>1402</v>
      </c>
      <c r="J872" s="4" t="s">
        <v>1401</v>
      </c>
      <c r="K872" s="5">
        <v>33280</v>
      </c>
      <c r="L872" s="4" t="s">
        <v>3584</v>
      </c>
      <c r="M872" s="4" t="s">
        <v>9</v>
      </c>
      <c r="N872" s="5">
        <v>41226</v>
      </c>
      <c r="O872" s="5" t="s">
        <v>2224</v>
      </c>
      <c r="P872" s="4" t="s">
        <v>2224</v>
      </c>
      <c r="Q872" s="4" t="s">
        <v>3585</v>
      </c>
      <c r="R872" s="4" t="s">
        <v>2226</v>
      </c>
      <c r="S872" s="4" t="s">
        <v>2227</v>
      </c>
      <c r="T872" s="4" t="s">
        <v>2228</v>
      </c>
      <c r="U872" s="4" t="s">
        <v>2237</v>
      </c>
      <c r="V872" s="4" t="s">
        <v>125</v>
      </c>
      <c r="W872" s="4" t="s">
        <v>2230</v>
      </c>
      <c r="X872" s="4" t="s">
        <v>2224</v>
      </c>
      <c r="Y872" s="4" t="s">
        <v>2239</v>
      </c>
      <c r="Z872" s="6">
        <v>19891.612099999998</v>
      </c>
      <c r="AA872" s="6">
        <v>238699.35</v>
      </c>
      <c r="AB872" s="4" t="s">
        <v>2232</v>
      </c>
      <c r="AC872" s="7" t="s">
        <v>2224</v>
      </c>
    </row>
    <row r="873" spans="1:29" ht="15" customHeight="1" collapsed="1" thickBot="1" x14ac:dyDescent="0.3">
      <c r="A873" s="20" t="str">
        <f>CONCATENATE("542"," - ","MISS", " ","LUSANDA"," ", "Nokwali")</f>
        <v>542 - MISS LUSANDA Nokwali</v>
      </c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2"/>
    </row>
    <row r="874" spans="1:29" ht="15" hidden="1" customHeight="1" outlineLevel="1" thickBot="1" x14ac:dyDescent="0.3">
      <c r="A874" s="4" t="s">
        <v>3586</v>
      </c>
      <c r="B874" s="4" t="s">
        <v>173</v>
      </c>
      <c r="C874" s="4" t="s">
        <v>2220</v>
      </c>
      <c r="D874" s="5">
        <v>42962.461805555555</v>
      </c>
      <c r="E874" s="4" t="s">
        <v>2221</v>
      </c>
      <c r="F874" s="4" t="s">
        <v>2222</v>
      </c>
      <c r="G874" s="4" t="s">
        <v>2234</v>
      </c>
      <c r="H874" s="4" t="s">
        <v>1105</v>
      </c>
      <c r="I874" s="4" t="s">
        <v>1106</v>
      </c>
      <c r="J874" s="4" t="s">
        <v>1104</v>
      </c>
      <c r="K874" s="5">
        <v>31125</v>
      </c>
      <c r="L874" s="4" t="s">
        <v>3587</v>
      </c>
      <c r="M874" s="4" t="s">
        <v>9</v>
      </c>
      <c r="N874" s="5">
        <v>39387</v>
      </c>
      <c r="O874" s="5" t="s">
        <v>2224</v>
      </c>
      <c r="P874" s="4" t="s">
        <v>2224</v>
      </c>
      <c r="Q874" s="4" t="s">
        <v>3588</v>
      </c>
      <c r="R874" s="4" t="s">
        <v>2226</v>
      </c>
      <c r="S874" s="4" t="s">
        <v>2793</v>
      </c>
      <c r="T874" s="4" t="s">
        <v>2228</v>
      </c>
      <c r="U874" s="4" t="s">
        <v>2229</v>
      </c>
      <c r="V874" s="4" t="s">
        <v>25</v>
      </c>
      <c r="W874" s="4" t="s">
        <v>2278</v>
      </c>
      <c r="X874" s="4" t="s">
        <v>2224</v>
      </c>
      <c r="Y874" s="4" t="s">
        <v>2231</v>
      </c>
      <c r="Z874" s="6">
        <v>17112.259999999998</v>
      </c>
      <c r="AA874" s="6">
        <v>205347.12</v>
      </c>
      <c r="AB874" s="4" t="s">
        <v>2232</v>
      </c>
      <c r="AC874" s="7" t="s">
        <v>2224</v>
      </c>
    </row>
    <row r="875" spans="1:29" ht="15" customHeight="1" collapsed="1" thickBot="1" x14ac:dyDescent="0.3">
      <c r="A875" s="20" t="str">
        <f>CONCATENATE("543"," - ","MISS", " ","Cindi"," ", "Nomsa")</f>
        <v>543 - MISS Cindi Nomsa</v>
      </c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2"/>
    </row>
    <row r="876" spans="1:29" ht="15" hidden="1" customHeight="1" outlineLevel="1" thickBot="1" x14ac:dyDescent="0.3">
      <c r="A876" s="4" t="s">
        <v>3589</v>
      </c>
      <c r="B876" s="4" t="s">
        <v>536</v>
      </c>
      <c r="C876" s="4" t="s">
        <v>2220</v>
      </c>
      <c r="D876" s="5">
        <v>42962.549999999996</v>
      </c>
      <c r="E876" s="4" t="s">
        <v>2221</v>
      </c>
      <c r="F876" s="4" t="s">
        <v>2222</v>
      </c>
      <c r="G876" s="4" t="s">
        <v>2234</v>
      </c>
      <c r="H876" s="4" t="s">
        <v>743</v>
      </c>
      <c r="I876" s="4" t="s">
        <v>1801</v>
      </c>
      <c r="J876" s="4" t="s">
        <v>1800</v>
      </c>
      <c r="K876" s="5">
        <v>33347</v>
      </c>
      <c r="L876" s="4" t="s">
        <v>3590</v>
      </c>
      <c r="M876" s="4" t="s">
        <v>9</v>
      </c>
      <c r="N876" s="5">
        <v>42072</v>
      </c>
      <c r="O876" s="5" t="s">
        <v>2224</v>
      </c>
      <c r="P876" s="4" t="s">
        <v>2224</v>
      </c>
      <c r="Q876" s="4" t="s">
        <v>2552</v>
      </c>
      <c r="R876" s="4" t="s">
        <v>2226</v>
      </c>
      <c r="S876" s="4" t="s">
        <v>2227</v>
      </c>
      <c r="T876" s="4" t="s">
        <v>2228</v>
      </c>
      <c r="U876" s="4" t="s">
        <v>2237</v>
      </c>
      <c r="V876" s="4" t="s">
        <v>8</v>
      </c>
      <c r="W876" s="4" t="s">
        <v>2278</v>
      </c>
      <c r="X876" s="4" t="s">
        <v>2224</v>
      </c>
      <c r="Y876" s="4" t="s">
        <v>2239</v>
      </c>
      <c r="Z876" s="6">
        <v>16081.7</v>
      </c>
      <c r="AA876" s="6">
        <v>192980.4</v>
      </c>
      <c r="AB876" s="4" t="s">
        <v>2232</v>
      </c>
      <c r="AC876" s="7" t="s">
        <v>2224</v>
      </c>
    </row>
    <row r="877" spans="1:29" ht="15" customHeight="1" collapsed="1" thickBot="1" x14ac:dyDescent="0.3">
      <c r="A877" s="20" t="str">
        <f>CONCATENATE("544"," - ","MR", " ","Athole"," ", "Nongauza")</f>
        <v>544 - MR Athole Nongauza</v>
      </c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2"/>
    </row>
    <row r="878" spans="1:29" ht="15" hidden="1" customHeight="1" outlineLevel="1" thickBot="1" x14ac:dyDescent="0.3">
      <c r="A878" s="4" t="s">
        <v>3591</v>
      </c>
      <c r="B878" s="4" t="s">
        <v>464</v>
      </c>
      <c r="C878" s="4" t="s">
        <v>2220</v>
      </c>
      <c r="D878" s="5">
        <v>42962.461805555555</v>
      </c>
      <c r="E878" s="4" t="s">
        <v>2221</v>
      </c>
      <c r="F878" s="4" t="s">
        <v>2222</v>
      </c>
      <c r="G878" s="4" t="s">
        <v>2014</v>
      </c>
      <c r="H878" s="4" t="s">
        <v>1664</v>
      </c>
      <c r="I878" s="4" t="s">
        <v>1665</v>
      </c>
      <c r="J878" s="4" t="s">
        <v>1663</v>
      </c>
      <c r="K878" s="5">
        <v>33668</v>
      </c>
      <c r="L878" s="4" t="s">
        <v>3592</v>
      </c>
      <c r="M878" s="4" t="s">
        <v>9</v>
      </c>
      <c r="N878" s="5">
        <v>41772</v>
      </c>
      <c r="O878" s="5" t="s">
        <v>2224</v>
      </c>
      <c r="P878" s="4" t="s">
        <v>2224</v>
      </c>
      <c r="Q878" s="4" t="s">
        <v>3593</v>
      </c>
      <c r="R878" s="4" t="s">
        <v>2226</v>
      </c>
      <c r="S878" s="4" t="s">
        <v>2227</v>
      </c>
      <c r="T878" s="4" t="s">
        <v>2228</v>
      </c>
      <c r="U878" s="4" t="s">
        <v>2229</v>
      </c>
      <c r="V878" s="4" t="s">
        <v>25</v>
      </c>
      <c r="W878" s="4" t="s">
        <v>2278</v>
      </c>
      <c r="X878" s="4" t="s">
        <v>2224</v>
      </c>
      <c r="Y878" s="4" t="s">
        <v>2231</v>
      </c>
      <c r="Z878" s="6">
        <v>10844.028399999999</v>
      </c>
      <c r="AA878" s="6">
        <v>130128.34</v>
      </c>
      <c r="AB878" s="4" t="s">
        <v>2232</v>
      </c>
      <c r="AC878" s="7" t="s">
        <v>2224</v>
      </c>
    </row>
    <row r="879" spans="1:29" ht="15" customHeight="1" collapsed="1" thickBot="1" x14ac:dyDescent="0.3">
      <c r="A879" s="20" t="str">
        <f>CONCATENATE("545"," - ","MISS", " ","Sanelisiwe"," ", "Nsele")</f>
        <v>545 - MISS Sanelisiwe Nsele</v>
      </c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2"/>
    </row>
    <row r="880" spans="1:29" ht="15" hidden="1" customHeight="1" outlineLevel="1" thickBot="1" x14ac:dyDescent="0.3">
      <c r="A880" s="4" t="s">
        <v>3594</v>
      </c>
      <c r="B880" s="4" t="s">
        <v>524</v>
      </c>
      <c r="C880" s="4" t="s">
        <v>2220</v>
      </c>
      <c r="D880" s="5">
        <v>42962.461805555555</v>
      </c>
      <c r="E880" s="4" t="s">
        <v>2221</v>
      </c>
      <c r="F880" s="4" t="s">
        <v>2222</v>
      </c>
      <c r="G880" s="4" t="s">
        <v>2234</v>
      </c>
      <c r="H880" s="4" t="s">
        <v>865</v>
      </c>
      <c r="I880" s="4" t="s">
        <v>925</v>
      </c>
      <c r="J880" s="4" t="s">
        <v>1778</v>
      </c>
      <c r="K880" s="5">
        <v>32601</v>
      </c>
      <c r="L880" s="4" t="s">
        <v>3595</v>
      </c>
      <c r="M880" s="4" t="s">
        <v>9</v>
      </c>
      <c r="N880" s="5">
        <v>42072</v>
      </c>
      <c r="O880" s="5" t="s">
        <v>2224</v>
      </c>
      <c r="P880" s="4" t="s">
        <v>2224</v>
      </c>
      <c r="Q880" s="4" t="s">
        <v>3596</v>
      </c>
      <c r="R880" s="4" t="s">
        <v>2226</v>
      </c>
      <c r="S880" s="4" t="s">
        <v>2227</v>
      </c>
      <c r="T880" s="4" t="s">
        <v>2228</v>
      </c>
      <c r="U880" s="4" t="s">
        <v>2229</v>
      </c>
      <c r="V880" s="4" t="s">
        <v>25</v>
      </c>
      <c r="W880" s="4" t="s">
        <v>2278</v>
      </c>
      <c r="X880" s="4" t="s">
        <v>2224</v>
      </c>
      <c r="Y880" s="4" t="s">
        <v>2568</v>
      </c>
      <c r="Z880" s="6">
        <v>10710.1538</v>
      </c>
      <c r="AA880" s="6">
        <v>128521.85</v>
      </c>
      <c r="AB880" s="4" t="s">
        <v>2232</v>
      </c>
      <c r="AC880" s="7" t="s">
        <v>2224</v>
      </c>
    </row>
    <row r="881" spans="1:29" ht="15" customHeight="1" collapsed="1" thickBot="1" x14ac:dyDescent="0.3">
      <c r="A881" s="20" t="str">
        <f>CONCATENATE("546"," - ","MR", " ","Kamohelo"," ", "Nthejane")</f>
        <v>546 - MR Kamohelo Nthejane</v>
      </c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2"/>
    </row>
    <row r="882" spans="1:29" ht="15" hidden="1" customHeight="1" outlineLevel="1" thickBot="1" x14ac:dyDescent="0.3">
      <c r="A882" s="4" t="s">
        <v>3597</v>
      </c>
      <c r="B882" s="4" t="s">
        <v>459</v>
      </c>
      <c r="C882" s="4" t="s">
        <v>2220</v>
      </c>
      <c r="D882" s="5">
        <v>42962.461111111108</v>
      </c>
      <c r="E882" s="4" t="s">
        <v>2221</v>
      </c>
      <c r="F882" s="4" t="s">
        <v>2222</v>
      </c>
      <c r="G882" s="4" t="s">
        <v>2014</v>
      </c>
      <c r="H882" s="4" t="s">
        <v>1120</v>
      </c>
      <c r="I882" s="4" t="s">
        <v>1654</v>
      </c>
      <c r="J882" s="4" t="s">
        <v>1653</v>
      </c>
      <c r="K882" s="5">
        <v>33296</v>
      </c>
      <c r="L882" s="4" t="s">
        <v>3598</v>
      </c>
      <c r="M882" s="4" t="s">
        <v>9</v>
      </c>
      <c r="N882" s="5">
        <v>41730</v>
      </c>
      <c r="O882" s="5" t="s">
        <v>2224</v>
      </c>
      <c r="P882" s="4" t="s">
        <v>2224</v>
      </c>
      <c r="Q882" s="4" t="s">
        <v>3599</v>
      </c>
      <c r="R882" s="4" t="s">
        <v>2226</v>
      </c>
      <c r="S882" s="4" t="s">
        <v>2227</v>
      </c>
      <c r="T882" s="4" t="s">
        <v>2228</v>
      </c>
      <c r="U882" s="4" t="s">
        <v>2229</v>
      </c>
      <c r="V882" s="4" t="s">
        <v>25</v>
      </c>
      <c r="W882" s="4" t="s">
        <v>2278</v>
      </c>
      <c r="X882" s="4" t="s">
        <v>2224</v>
      </c>
      <c r="Y882" s="4" t="s">
        <v>2423</v>
      </c>
      <c r="Z882" s="6">
        <v>5422.0088999999998</v>
      </c>
      <c r="AA882" s="6">
        <v>65064.11</v>
      </c>
      <c r="AB882" s="4" t="s">
        <v>2232</v>
      </c>
      <c r="AC882" s="7" t="s">
        <v>2224</v>
      </c>
    </row>
    <row r="883" spans="1:29" ht="15" customHeight="1" collapsed="1" thickBot="1" x14ac:dyDescent="0.3">
      <c r="A883" s="20" t="str">
        <f>CONCATENATE("547"," - ","MR", " ","Maluxolwe"," ", "Ntleki")</f>
        <v>547 - MR Maluxolwe Ntleki</v>
      </c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2"/>
    </row>
    <row r="884" spans="1:29" ht="15" hidden="1" customHeight="1" outlineLevel="1" thickBot="1" x14ac:dyDescent="0.3">
      <c r="A884" s="4" t="s">
        <v>3600</v>
      </c>
      <c r="B884" s="4" t="s">
        <v>28</v>
      </c>
      <c r="C884" s="4" t="s">
        <v>2220</v>
      </c>
      <c r="D884" s="5">
        <v>42962.461111111108</v>
      </c>
      <c r="E884" s="4" t="s">
        <v>2221</v>
      </c>
      <c r="F884" s="4" t="s">
        <v>2222</v>
      </c>
      <c r="G884" s="4" t="s">
        <v>2014</v>
      </c>
      <c r="H884" s="4" t="s">
        <v>813</v>
      </c>
      <c r="I884" s="4" t="s">
        <v>814</v>
      </c>
      <c r="J884" s="4" t="s">
        <v>812</v>
      </c>
      <c r="K884" s="5">
        <v>29165</v>
      </c>
      <c r="L884" s="4" t="s">
        <v>3601</v>
      </c>
      <c r="M884" s="4" t="s">
        <v>9</v>
      </c>
      <c r="N884" s="5">
        <v>38978</v>
      </c>
      <c r="O884" s="5" t="s">
        <v>2224</v>
      </c>
      <c r="P884" s="4" t="s">
        <v>2224</v>
      </c>
      <c r="Q884" s="4" t="s">
        <v>3602</v>
      </c>
      <c r="R884" s="4" t="s">
        <v>2226</v>
      </c>
      <c r="S884" s="4" t="s">
        <v>2227</v>
      </c>
      <c r="T884" s="4" t="s">
        <v>2228</v>
      </c>
      <c r="U884" s="4" t="s">
        <v>2229</v>
      </c>
      <c r="V884" s="4" t="s">
        <v>25</v>
      </c>
      <c r="W884" s="4" t="s">
        <v>2608</v>
      </c>
      <c r="X884" s="4" t="s">
        <v>2224</v>
      </c>
      <c r="Y884" s="4" t="s">
        <v>2380</v>
      </c>
      <c r="Z884" s="6">
        <v>17112.2621</v>
      </c>
      <c r="AA884" s="6">
        <v>205347.15</v>
      </c>
      <c r="AB884" s="4" t="s">
        <v>2232</v>
      </c>
      <c r="AC884" s="7" t="s">
        <v>2224</v>
      </c>
    </row>
    <row r="885" spans="1:29" ht="15" customHeight="1" collapsed="1" thickBot="1" x14ac:dyDescent="0.3">
      <c r="A885" s="20" t="str">
        <f>CONCATENATE("548"," - ","MR", " ","Lethokuhle"," ", "Ntshangase")</f>
        <v>548 - MR Lethokuhle Ntshangase</v>
      </c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2"/>
    </row>
    <row r="886" spans="1:29" ht="15" hidden="1" customHeight="1" outlineLevel="1" thickBot="1" x14ac:dyDescent="0.3">
      <c r="A886" s="4" t="s">
        <v>3603</v>
      </c>
      <c r="B886" s="4" t="s">
        <v>554</v>
      </c>
      <c r="C886" s="4" t="s">
        <v>2220</v>
      </c>
      <c r="D886" s="5">
        <v>42963.288888888885</v>
      </c>
      <c r="E886" s="4" t="s">
        <v>2221</v>
      </c>
      <c r="F886" s="4" t="s">
        <v>2222</v>
      </c>
      <c r="G886" s="4" t="s">
        <v>2014</v>
      </c>
      <c r="H886" s="4" t="s">
        <v>878</v>
      </c>
      <c r="I886" s="4" t="s">
        <v>1828</v>
      </c>
      <c r="J886" s="4" t="s">
        <v>1827</v>
      </c>
      <c r="K886" s="5">
        <v>32668</v>
      </c>
      <c r="L886" s="4" t="s">
        <v>3604</v>
      </c>
      <c r="M886" s="4" t="s">
        <v>9</v>
      </c>
      <c r="N886" s="5">
        <v>42151</v>
      </c>
      <c r="O886" s="5" t="s">
        <v>2224</v>
      </c>
      <c r="P886" s="4" t="s">
        <v>2224</v>
      </c>
      <c r="Q886" s="4" t="s">
        <v>3605</v>
      </c>
      <c r="R886" s="4" t="s">
        <v>2226</v>
      </c>
      <c r="S886" s="4" t="s">
        <v>2227</v>
      </c>
      <c r="T886" s="4" t="s">
        <v>2228</v>
      </c>
      <c r="U886" s="4" t="s">
        <v>2258</v>
      </c>
      <c r="V886" s="4" t="s">
        <v>246</v>
      </c>
      <c r="W886" s="4" t="s">
        <v>2249</v>
      </c>
      <c r="X886" s="4" t="s">
        <v>2224</v>
      </c>
      <c r="Y886" s="4" t="s">
        <v>2259</v>
      </c>
      <c r="Z886" s="6">
        <v>66716.135999999999</v>
      </c>
      <c r="AA886" s="6">
        <v>800593.63</v>
      </c>
      <c r="AB886" s="4" t="s">
        <v>2232</v>
      </c>
      <c r="AC886" s="7" t="s">
        <v>2224</v>
      </c>
    </row>
    <row r="887" spans="1:29" ht="15" customHeight="1" collapsed="1" thickBot="1" x14ac:dyDescent="0.3">
      <c r="A887" s="20" t="str">
        <f>CONCATENATE("55"," - ","MR", " ","Jacobus"," ", "Bezuidenhout")</f>
        <v>55 - MR Jacobus Bezuidenhout</v>
      </c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2"/>
    </row>
    <row r="888" spans="1:29" ht="15" hidden="1" customHeight="1" outlineLevel="1" thickBot="1" x14ac:dyDescent="0.3">
      <c r="A888" s="4" t="s">
        <v>3606</v>
      </c>
      <c r="B888" s="4" t="s">
        <v>270</v>
      </c>
      <c r="C888" s="4" t="s">
        <v>2220</v>
      </c>
      <c r="D888" s="5">
        <v>42963.28402777778</v>
      </c>
      <c r="E888" s="4" t="s">
        <v>2221</v>
      </c>
      <c r="F888" s="4" t="s">
        <v>2222</v>
      </c>
      <c r="G888" s="4" t="s">
        <v>2014</v>
      </c>
      <c r="H888" s="4" t="s">
        <v>1295</v>
      </c>
      <c r="I888" s="4" t="s">
        <v>992</v>
      </c>
      <c r="J888" s="4" t="s">
        <v>1294</v>
      </c>
      <c r="K888" s="5">
        <v>21229</v>
      </c>
      <c r="L888" s="4" t="s">
        <v>3607</v>
      </c>
      <c r="M888" s="4" t="s">
        <v>9</v>
      </c>
      <c r="N888" s="5">
        <v>40661</v>
      </c>
      <c r="O888" s="5" t="s">
        <v>2224</v>
      </c>
      <c r="P888" s="4" t="s">
        <v>2224</v>
      </c>
      <c r="Q888" s="4" t="s">
        <v>3608</v>
      </c>
      <c r="R888" s="4" t="s">
        <v>2226</v>
      </c>
      <c r="S888" s="4" t="s">
        <v>2227</v>
      </c>
      <c r="T888" s="4" t="s">
        <v>2228</v>
      </c>
      <c r="U888" s="4" t="s">
        <v>2258</v>
      </c>
      <c r="V888" s="4" t="s">
        <v>13</v>
      </c>
      <c r="W888" s="4" t="s">
        <v>2249</v>
      </c>
      <c r="X888" s="4" t="s">
        <v>2224</v>
      </c>
      <c r="Y888" s="4" t="s">
        <v>2259</v>
      </c>
      <c r="Z888" s="6">
        <v>114230.7792</v>
      </c>
      <c r="AA888" s="6">
        <v>1370769.35</v>
      </c>
      <c r="AB888" s="4" t="s">
        <v>2232</v>
      </c>
      <c r="AC888" s="7" t="s">
        <v>2224</v>
      </c>
    </row>
    <row r="889" spans="1:29" ht="15" customHeight="1" collapsed="1" thickBot="1" x14ac:dyDescent="0.3">
      <c r="A889" s="20" t="str">
        <f>CONCATENATE("551"," - ","MISS", " ","Sujanta"," ", "Nundhkumar")</f>
        <v>551 - MISS Sujanta Nundhkumar</v>
      </c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2"/>
    </row>
    <row r="890" spans="1:29" ht="15" hidden="1" customHeight="1" outlineLevel="1" thickBot="1" x14ac:dyDescent="0.3">
      <c r="A890" s="4" t="s">
        <v>3609</v>
      </c>
      <c r="B890" s="4" t="s">
        <v>428</v>
      </c>
      <c r="C890" s="4" t="s">
        <v>2220</v>
      </c>
      <c r="D890" s="5">
        <v>42962.549999999996</v>
      </c>
      <c r="E890" s="4" t="s">
        <v>2221</v>
      </c>
      <c r="F890" s="4" t="s">
        <v>2222</v>
      </c>
      <c r="G890" s="4" t="s">
        <v>2234</v>
      </c>
      <c r="H890" s="4" t="s">
        <v>800</v>
      </c>
      <c r="I890" s="4" t="s">
        <v>1584</v>
      </c>
      <c r="J890" s="4" t="s">
        <v>1583</v>
      </c>
      <c r="K890" s="5">
        <v>34184</v>
      </c>
      <c r="L890" s="4" t="s">
        <v>3610</v>
      </c>
      <c r="M890" s="4" t="s">
        <v>9</v>
      </c>
      <c r="N890" s="5">
        <v>41568</v>
      </c>
      <c r="O890" s="5" t="s">
        <v>2224</v>
      </c>
      <c r="P890" s="4" t="s">
        <v>2224</v>
      </c>
      <c r="Q890" s="4" t="s">
        <v>3611</v>
      </c>
      <c r="R890" s="4" t="s">
        <v>2226</v>
      </c>
      <c r="S890" s="4" t="s">
        <v>2227</v>
      </c>
      <c r="T890" s="4" t="s">
        <v>2228</v>
      </c>
      <c r="U890" s="4" t="s">
        <v>2237</v>
      </c>
      <c r="V890" s="4" t="s">
        <v>125</v>
      </c>
      <c r="W890" s="4" t="s">
        <v>2278</v>
      </c>
      <c r="X890" s="4" t="s">
        <v>2224</v>
      </c>
      <c r="Y890" s="4" t="s">
        <v>2239</v>
      </c>
      <c r="Z890" s="6">
        <v>19891.601500000001</v>
      </c>
      <c r="AA890" s="6">
        <v>238699.22</v>
      </c>
      <c r="AB890" s="4" t="s">
        <v>2232</v>
      </c>
      <c r="AC890" s="7" t="s">
        <v>2224</v>
      </c>
    </row>
    <row r="891" spans="1:29" ht="15" customHeight="1" collapsed="1" thickBot="1" x14ac:dyDescent="0.3">
      <c r="A891" s="20" t="str">
        <f>CONCATENATE("552"," - ","MR", " ","Corne"," ", "Oberholzer")</f>
        <v>552 - MR Corne Oberholzer</v>
      </c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2"/>
    </row>
    <row r="892" spans="1:29" ht="15" hidden="1" customHeight="1" outlineLevel="1" thickBot="1" x14ac:dyDescent="0.3">
      <c r="A892" s="4" t="s">
        <v>3612</v>
      </c>
      <c r="B892" s="4" t="s">
        <v>242</v>
      </c>
      <c r="C892" s="4" t="s">
        <v>2220</v>
      </c>
      <c r="D892" s="5">
        <v>42963.28125</v>
      </c>
      <c r="E892" s="4" t="s">
        <v>2221</v>
      </c>
      <c r="F892" s="4" t="s">
        <v>2222</v>
      </c>
      <c r="G892" s="4" t="s">
        <v>2014</v>
      </c>
      <c r="H892" s="4" t="s">
        <v>743</v>
      </c>
      <c r="I892" s="4" t="s">
        <v>1243</v>
      </c>
      <c r="J892" s="4" t="s">
        <v>1242</v>
      </c>
      <c r="K892" s="5">
        <v>27598</v>
      </c>
      <c r="L892" s="4" t="s">
        <v>3613</v>
      </c>
      <c r="M892" s="4" t="s">
        <v>9</v>
      </c>
      <c r="N892" s="5">
        <v>40422</v>
      </c>
      <c r="O892" s="5" t="s">
        <v>2224</v>
      </c>
      <c r="P892" s="4" t="s">
        <v>2224</v>
      </c>
      <c r="Q892" s="4" t="s">
        <v>3614</v>
      </c>
      <c r="R892" s="4" t="s">
        <v>2226</v>
      </c>
      <c r="S892" s="4" t="s">
        <v>2227</v>
      </c>
      <c r="T892" s="4" t="s">
        <v>2228</v>
      </c>
      <c r="U892" s="4" t="s">
        <v>2258</v>
      </c>
      <c r="V892" s="4" t="s">
        <v>13</v>
      </c>
      <c r="W892" s="4" t="s">
        <v>2249</v>
      </c>
      <c r="X892" s="4" t="s">
        <v>2224</v>
      </c>
      <c r="Y892" s="4" t="s">
        <v>2259</v>
      </c>
      <c r="Z892" s="6">
        <v>114230.77</v>
      </c>
      <c r="AA892" s="6">
        <v>1370769.24</v>
      </c>
      <c r="AB892" s="4" t="s">
        <v>2232</v>
      </c>
      <c r="AC892" s="7" t="s">
        <v>2224</v>
      </c>
    </row>
    <row r="893" spans="1:29" ht="15" customHeight="1" collapsed="1" thickBot="1" x14ac:dyDescent="0.3">
      <c r="A893" s="20" t="str">
        <f>CONCATENATE("553"," - ","MISS", " ","Jeanine"," ", "Odendaal")</f>
        <v>553 - MISS Jeanine Odendaal</v>
      </c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2"/>
    </row>
    <row r="894" spans="1:29" ht="15" hidden="1" customHeight="1" outlineLevel="1" thickBot="1" x14ac:dyDescent="0.3">
      <c r="A894" s="4" t="s">
        <v>3615</v>
      </c>
      <c r="B894" s="4" t="s">
        <v>112</v>
      </c>
      <c r="C894" s="4" t="s">
        <v>2220</v>
      </c>
      <c r="D894" s="5">
        <v>42962.461805555555</v>
      </c>
      <c r="E894" s="4" t="s">
        <v>2221</v>
      </c>
      <c r="F894" s="4" t="s">
        <v>2222</v>
      </c>
      <c r="G894" s="4" t="s">
        <v>2234</v>
      </c>
      <c r="H894" s="4" t="s">
        <v>988</v>
      </c>
      <c r="I894" s="4" t="s">
        <v>989</v>
      </c>
      <c r="J894" s="4" t="s">
        <v>987</v>
      </c>
      <c r="K894" s="5">
        <v>31125</v>
      </c>
      <c r="L894" s="4" t="s">
        <v>3616</v>
      </c>
      <c r="M894" s="4" t="s">
        <v>9</v>
      </c>
      <c r="N894" s="5">
        <v>39029</v>
      </c>
      <c r="O894" s="5" t="s">
        <v>2224</v>
      </c>
      <c r="P894" s="4" t="s">
        <v>2224</v>
      </c>
      <c r="Q894" s="4" t="s">
        <v>3617</v>
      </c>
      <c r="R894" s="4" t="s">
        <v>2226</v>
      </c>
      <c r="S894" s="4" t="s">
        <v>2227</v>
      </c>
      <c r="T894" s="4" t="s">
        <v>2228</v>
      </c>
      <c r="U894" s="4" t="s">
        <v>2229</v>
      </c>
      <c r="V894" s="4" t="s">
        <v>75</v>
      </c>
      <c r="W894" s="4" t="s">
        <v>2249</v>
      </c>
      <c r="X894" s="4" t="s">
        <v>2224</v>
      </c>
      <c r="Y894" s="4" t="s">
        <v>2621</v>
      </c>
      <c r="Z894" s="6">
        <v>30758.574100000002</v>
      </c>
      <c r="AA894" s="6">
        <v>369102.89</v>
      </c>
      <c r="AB894" s="4" t="s">
        <v>2232</v>
      </c>
      <c r="AC894" s="7" t="s">
        <v>2224</v>
      </c>
    </row>
    <row r="895" spans="1:29" ht="15" customHeight="1" collapsed="1" thickBot="1" x14ac:dyDescent="0.3">
      <c r="A895" s="20" t="str">
        <f>CONCATENATE("554"," - ","MS", " ","Lorraine"," ", "Omar")</f>
        <v>554 - MS Lorraine Omar</v>
      </c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2"/>
    </row>
    <row r="896" spans="1:29" ht="15" hidden="1" customHeight="1" outlineLevel="1" thickBot="1" x14ac:dyDescent="0.3">
      <c r="A896" s="4" t="s">
        <v>3618</v>
      </c>
      <c r="B896" s="4" t="s">
        <v>3619</v>
      </c>
      <c r="C896" s="4" t="s">
        <v>2220</v>
      </c>
      <c r="D896" s="5">
        <v>42948.693055555552</v>
      </c>
      <c r="E896" s="4" t="s">
        <v>2221</v>
      </c>
      <c r="F896" s="4" t="s">
        <v>2222</v>
      </c>
      <c r="G896" s="4" t="s">
        <v>813</v>
      </c>
      <c r="H896" s="4" t="s">
        <v>826</v>
      </c>
      <c r="I896" s="4" t="s">
        <v>3620</v>
      </c>
      <c r="J896" s="4" t="s">
        <v>2047</v>
      </c>
      <c r="K896" s="5">
        <v>27315</v>
      </c>
      <c r="L896" s="4" t="s">
        <v>3621</v>
      </c>
      <c r="M896" s="4" t="s">
        <v>2505</v>
      </c>
      <c r="N896" s="5">
        <v>42188</v>
      </c>
      <c r="O896" s="5">
        <v>42886</v>
      </c>
      <c r="P896" s="4" t="s">
        <v>2441</v>
      </c>
      <c r="Q896" s="4" t="s">
        <v>3622</v>
      </c>
      <c r="R896" s="4" t="s">
        <v>2224</v>
      </c>
      <c r="S896" s="4" t="s">
        <v>2227</v>
      </c>
      <c r="T896" s="4" t="s">
        <v>2228</v>
      </c>
      <c r="U896" s="4" t="s">
        <v>2248</v>
      </c>
      <c r="V896" s="4" t="s">
        <v>598</v>
      </c>
      <c r="W896" s="4" t="s">
        <v>2230</v>
      </c>
      <c r="X896" s="4" t="s">
        <v>2224</v>
      </c>
      <c r="Y896" s="4" t="s">
        <v>2224</v>
      </c>
      <c r="Z896" s="6">
        <v>0</v>
      </c>
      <c r="AA896" s="6">
        <v>0</v>
      </c>
      <c r="AB896" s="4" t="s">
        <v>2232</v>
      </c>
      <c r="AC896" s="7" t="s">
        <v>2224</v>
      </c>
    </row>
    <row r="897" spans="1:29" ht="15" customHeight="1" collapsed="1" thickBot="1" x14ac:dyDescent="0.3">
      <c r="A897" s="20" t="str">
        <f>CONCATENATE("555"," - ","MISS", " ","Monique"," ", "Oosthuizen")</f>
        <v>555 - MISS Monique Oosthuizen</v>
      </c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2"/>
    </row>
    <row r="898" spans="1:29" ht="15" hidden="1" customHeight="1" outlineLevel="1" thickBot="1" x14ac:dyDescent="0.3">
      <c r="A898" s="4" t="s">
        <v>3623</v>
      </c>
      <c r="B898" s="4" t="s">
        <v>31</v>
      </c>
      <c r="C898" s="4" t="s">
        <v>2220</v>
      </c>
      <c r="D898" s="5">
        <v>42962.521527777775</v>
      </c>
      <c r="E898" s="4" t="s">
        <v>2221</v>
      </c>
      <c r="F898" s="4" t="s">
        <v>2222</v>
      </c>
      <c r="G898" s="4" t="s">
        <v>2234</v>
      </c>
      <c r="H898" s="4" t="s">
        <v>823</v>
      </c>
      <c r="I898" s="4" t="s">
        <v>824</v>
      </c>
      <c r="J898" s="4" t="s">
        <v>822</v>
      </c>
      <c r="K898" s="5">
        <v>31326</v>
      </c>
      <c r="L898" s="4" t="s">
        <v>3624</v>
      </c>
      <c r="M898" s="4" t="s">
        <v>9</v>
      </c>
      <c r="N898" s="5">
        <v>38985</v>
      </c>
      <c r="O898" s="5" t="s">
        <v>2224</v>
      </c>
      <c r="P898" s="4" t="s">
        <v>2224</v>
      </c>
      <c r="Q898" s="4" t="s">
        <v>3625</v>
      </c>
      <c r="R898" s="4" t="s">
        <v>2226</v>
      </c>
      <c r="S898" s="4" t="s">
        <v>2227</v>
      </c>
      <c r="T898" s="4" t="s">
        <v>2228</v>
      </c>
      <c r="U898" s="4" t="s">
        <v>2248</v>
      </c>
      <c r="V898" s="4" t="s">
        <v>32</v>
      </c>
      <c r="W898" s="4" t="s">
        <v>3145</v>
      </c>
      <c r="X898" s="4" t="s">
        <v>2224</v>
      </c>
      <c r="Y898" s="4" t="s">
        <v>2473</v>
      </c>
      <c r="Z898" s="6">
        <v>23654.354299999999</v>
      </c>
      <c r="AA898" s="6">
        <v>283852.25</v>
      </c>
      <c r="AB898" s="4" t="s">
        <v>2232</v>
      </c>
      <c r="AC898" s="7" t="s">
        <v>2224</v>
      </c>
    </row>
    <row r="899" spans="1:29" ht="15" customHeight="1" collapsed="1" thickBot="1" x14ac:dyDescent="0.3">
      <c r="A899" s="20" t="str">
        <f>CONCATENATE("556"," - ","MRS", " ","Shantal"," ", "Osman")</f>
        <v>556 - MRS Shantal Osman</v>
      </c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2"/>
    </row>
    <row r="900" spans="1:29" ht="15" hidden="1" customHeight="1" outlineLevel="1" thickBot="1" x14ac:dyDescent="0.3">
      <c r="A900" s="4" t="s">
        <v>3626</v>
      </c>
      <c r="B900" s="4" t="s">
        <v>76</v>
      </c>
      <c r="C900" s="4" t="s">
        <v>2220</v>
      </c>
      <c r="D900" s="5">
        <v>42962.461111111108</v>
      </c>
      <c r="E900" s="4" t="s">
        <v>2221</v>
      </c>
      <c r="F900" s="4" t="s">
        <v>2222</v>
      </c>
      <c r="G900" s="4" t="s">
        <v>2280</v>
      </c>
      <c r="H900" s="4" t="s">
        <v>800</v>
      </c>
      <c r="I900" s="4" t="s">
        <v>910</v>
      </c>
      <c r="J900" s="4" t="s">
        <v>909</v>
      </c>
      <c r="K900" s="5">
        <v>31102</v>
      </c>
      <c r="L900" s="4" t="s">
        <v>3627</v>
      </c>
      <c r="M900" s="4" t="s">
        <v>9</v>
      </c>
      <c r="N900" s="5">
        <v>39013</v>
      </c>
      <c r="O900" s="5" t="s">
        <v>2224</v>
      </c>
      <c r="P900" s="4" t="s">
        <v>2224</v>
      </c>
      <c r="Q900" s="4" t="s">
        <v>3628</v>
      </c>
      <c r="R900" s="4" t="s">
        <v>2226</v>
      </c>
      <c r="S900" s="4" t="s">
        <v>2227</v>
      </c>
      <c r="T900" s="4" t="s">
        <v>2228</v>
      </c>
      <c r="U900" s="4" t="s">
        <v>2229</v>
      </c>
      <c r="V900" s="4" t="s">
        <v>25</v>
      </c>
      <c r="W900" s="4" t="s">
        <v>2278</v>
      </c>
      <c r="X900" s="4" t="s">
        <v>2224</v>
      </c>
      <c r="Y900" s="4" t="s">
        <v>2321</v>
      </c>
      <c r="Z900" s="6">
        <v>17112.2621</v>
      </c>
      <c r="AA900" s="6">
        <v>205347.15</v>
      </c>
      <c r="AB900" s="4" t="s">
        <v>2232</v>
      </c>
      <c r="AC900" s="7" t="s">
        <v>2224</v>
      </c>
    </row>
    <row r="901" spans="1:29" ht="15" customHeight="1" collapsed="1" thickBot="1" x14ac:dyDescent="0.3">
      <c r="A901" s="20" t="str">
        <f>CONCATENATE("557"," - ","", " ","Divij"," ", "Pandya")</f>
        <v>557 -  Divij Pandya</v>
      </c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2"/>
    </row>
    <row r="902" spans="1:29" ht="15" hidden="1" customHeight="1" outlineLevel="1" thickBot="1" x14ac:dyDescent="0.3">
      <c r="A902" s="4" t="s">
        <v>3629</v>
      </c>
      <c r="B902" s="4" t="s">
        <v>654</v>
      </c>
      <c r="C902" s="4" t="s">
        <v>2220</v>
      </c>
      <c r="D902" s="5">
        <v>42963.289583333331</v>
      </c>
      <c r="E902" s="4" t="s">
        <v>2221</v>
      </c>
      <c r="F902" s="4" t="s">
        <v>2222</v>
      </c>
      <c r="G902" s="4" t="s">
        <v>2224</v>
      </c>
      <c r="H902" s="4" t="s">
        <v>1187</v>
      </c>
      <c r="I902" s="4" t="s">
        <v>1989</v>
      </c>
      <c r="J902" s="4" t="s">
        <v>1988</v>
      </c>
      <c r="K902" s="5">
        <v>31536</v>
      </c>
      <c r="L902" s="4" t="s">
        <v>3630</v>
      </c>
      <c r="M902" s="4" t="s">
        <v>9</v>
      </c>
      <c r="N902" s="5">
        <v>42447</v>
      </c>
      <c r="O902" s="5" t="s">
        <v>2224</v>
      </c>
      <c r="P902" s="4" t="s">
        <v>2224</v>
      </c>
      <c r="Q902" s="4" t="s">
        <v>2552</v>
      </c>
      <c r="R902" s="4" t="s">
        <v>2226</v>
      </c>
      <c r="S902" s="4" t="s">
        <v>2227</v>
      </c>
      <c r="T902" s="4" t="s">
        <v>2228</v>
      </c>
      <c r="U902" s="4" t="s">
        <v>2258</v>
      </c>
      <c r="V902" s="4" t="s">
        <v>257</v>
      </c>
      <c r="W902" s="4" t="s">
        <v>2249</v>
      </c>
      <c r="X902" s="4" t="s">
        <v>2224</v>
      </c>
      <c r="Y902" s="4" t="s">
        <v>2259</v>
      </c>
      <c r="Z902" s="6">
        <v>61245.406799999997</v>
      </c>
      <c r="AA902" s="6">
        <v>734944.88</v>
      </c>
      <c r="AB902" s="4" t="s">
        <v>2232</v>
      </c>
      <c r="AC902" s="7" t="s">
        <v>2224</v>
      </c>
    </row>
    <row r="903" spans="1:29" ht="15" customHeight="1" collapsed="1" thickBot="1" x14ac:dyDescent="0.3">
      <c r="A903" s="20" t="str">
        <f>CONCATENATE("558"," - ","MISS", " ","KAREN"," ", "PEARSON")</f>
        <v>558 - MISS KAREN PEARSON</v>
      </c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2"/>
    </row>
    <row r="904" spans="1:29" ht="15" hidden="1" customHeight="1" outlineLevel="1" thickBot="1" x14ac:dyDescent="0.3">
      <c r="A904" s="4" t="s">
        <v>3631</v>
      </c>
      <c r="B904" s="4" t="s">
        <v>180</v>
      </c>
      <c r="C904" s="4" t="s">
        <v>2220</v>
      </c>
      <c r="D904" s="5">
        <v>42955.427777777775</v>
      </c>
      <c r="E904" s="4" t="s">
        <v>2221</v>
      </c>
      <c r="F904" s="4" t="s">
        <v>2222</v>
      </c>
      <c r="G904" s="4" t="s">
        <v>2234</v>
      </c>
      <c r="H904" s="4" t="s">
        <v>1120</v>
      </c>
      <c r="I904" s="4" t="s">
        <v>1121</v>
      </c>
      <c r="J904" s="4" t="s">
        <v>1119</v>
      </c>
      <c r="K904" s="5">
        <v>25183</v>
      </c>
      <c r="L904" s="4" t="s">
        <v>3632</v>
      </c>
      <c r="M904" s="4" t="s">
        <v>9</v>
      </c>
      <c r="N904" s="5">
        <v>39449</v>
      </c>
      <c r="O904" s="5" t="s">
        <v>2224</v>
      </c>
      <c r="P904" s="4" t="s">
        <v>2224</v>
      </c>
      <c r="Q904" s="4" t="s">
        <v>3633</v>
      </c>
      <c r="R904" s="4" t="s">
        <v>2226</v>
      </c>
      <c r="S904" s="4" t="s">
        <v>2227</v>
      </c>
      <c r="T904" s="4" t="s">
        <v>2228</v>
      </c>
      <c r="U904" s="4" t="s">
        <v>2248</v>
      </c>
      <c r="V904" s="4" t="s">
        <v>181</v>
      </c>
      <c r="W904" s="4" t="s">
        <v>2230</v>
      </c>
      <c r="X904" s="4" t="s">
        <v>2224</v>
      </c>
      <c r="Y904" s="4" t="s">
        <v>2887</v>
      </c>
      <c r="Z904" s="6">
        <v>24899.354899999998</v>
      </c>
      <c r="AA904" s="6">
        <v>298792.26</v>
      </c>
      <c r="AB904" s="4" t="s">
        <v>2232</v>
      </c>
      <c r="AC904" s="7" t="s">
        <v>2224</v>
      </c>
    </row>
    <row r="905" spans="1:29" ht="15" customHeight="1" collapsed="1" thickBot="1" x14ac:dyDescent="0.3">
      <c r="A905" s="20" t="str">
        <f>CONCATENATE("559"," - ","MISS", " ","Kelebogile"," ", "Pege")</f>
        <v>559 - MISS Kelebogile Pege</v>
      </c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2"/>
    </row>
    <row r="906" spans="1:29" ht="15" hidden="1" customHeight="1" outlineLevel="1" thickBot="1" x14ac:dyDescent="0.3">
      <c r="A906" s="4" t="s">
        <v>3634</v>
      </c>
      <c r="B906" s="4" t="s">
        <v>535</v>
      </c>
      <c r="C906" s="4" t="s">
        <v>2220</v>
      </c>
      <c r="D906" s="5">
        <v>42962.549999999996</v>
      </c>
      <c r="E906" s="4" t="s">
        <v>2221</v>
      </c>
      <c r="F906" s="4" t="s">
        <v>2222</v>
      </c>
      <c r="G906" s="4" t="s">
        <v>2234</v>
      </c>
      <c r="H906" s="4" t="s">
        <v>1120</v>
      </c>
      <c r="I906" s="4" t="s">
        <v>1799</v>
      </c>
      <c r="J906" s="4" t="s">
        <v>1798</v>
      </c>
      <c r="K906" s="5">
        <v>34160</v>
      </c>
      <c r="L906" s="4" t="s">
        <v>3635</v>
      </c>
      <c r="M906" s="4" t="s">
        <v>9</v>
      </c>
      <c r="N906" s="5">
        <v>42072</v>
      </c>
      <c r="O906" s="5" t="s">
        <v>2224</v>
      </c>
      <c r="P906" s="4" t="s">
        <v>2224</v>
      </c>
      <c r="Q906" s="4" t="s">
        <v>2552</v>
      </c>
      <c r="R906" s="4" t="s">
        <v>2226</v>
      </c>
      <c r="S906" s="4" t="s">
        <v>2227</v>
      </c>
      <c r="T906" s="4" t="s">
        <v>2228</v>
      </c>
      <c r="U906" s="4" t="s">
        <v>2237</v>
      </c>
      <c r="V906" s="4" t="s">
        <v>8</v>
      </c>
      <c r="W906" s="4" t="s">
        <v>2278</v>
      </c>
      <c r="X906" s="4" t="s">
        <v>2224</v>
      </c>
      <c r="Y906" s="4" t="s">
        <v>2239</v>
      </c>
      <c r="Z906" s="6">
        <v>16081.7</v>
      </c>
      <c r="AA906" s="6">
        <v>192980.4</v>
      </c>
      <c r="AB906" s="4" t="s">
        <v>2232</v>
      </c>
      <c r="AC906" s="7" t="s">
        <v>2224</v>
      </c>
    </row>
    <row r="907" spans="1:29" ht="15" customHeight="1" collapsed="1" thickBot="1" x14ac:dyDescent="0.3">
      <c r="A907" s="20" t="str">
        <f>CONCATENATE("56"," - ","MRS", " ","Lynn"," ", "Bezuidenhout")</f>
        <v>56 - MRS Lynn Bezuidenhout</v>
      </c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2"/>
    </row>
    <row r="908" spans="1:29" ht="15" hidden="1" customHeight="1" outlineLevel="1" thickBot="1" x14ac:dyDescent="0.3">
      <c r="A908" s="4" t="s">
        <v>3636</v>
      </c>
      <c r="B908" s="4" t="s">
        <v>340</v>
      </c>
      <c r="C908" s="4" t="s">
        <v>2220</v>
      </c>
      <c r="D908" s="5">
        <v>42962.461805555555</v>
      </c>
      <c r="E908" s="4" t="s">
        <v>2221</v>
      </c>
      <c r="F908" s="4" t="s">
        <v>2222</v>
      </c>
      <c r="G908" s="4" t="s">
        <v>2280</v>
      </c>
      <c r="H908" s="4" t="s">
        <v>1419</v>
      </c>
      <c r="I908" s="4" t="s">
        <v>821</v>
      </c>
      <c r="J908" s="4" t="s">
        <v>1294</v>
      </c>
      <c r="K908" s="5">
        <v>31441</v>
      </c>
      <c r="L908" s="4" t="s">
        <v>3637</v>
      </c>
      <c r="M908" s="4" t="s">
        <v>9</v>
      </c>
      <c r="N908" s="5">
        <v>41289</v>
      </c>
      <c r="O908" s="5" t="s">
        <v>2224</v>
      </c>
      <c r="P908" s="4" t="s">
        <v>2224</v>
      </c>
      <c r="Q908" s="4" t="s">
        <v>3638</v>
      </c>
      <c r="R908" s="4" t="s">
        <v>2226</v>
      </c>
      <c r="S908" s="4" t="s">
        <v>2227</v>
      </c>
      <c r="T908" s="4" t="s">
        <v>2228</v>
      </c>
      <c r="U908" s="4" t="s">
        <v>2229</v>
      </c>
      <c r="V908" s="4" t="s">
        <v>25</v>
      </c>
      <c r="W908" s="4" t="s">
        <v>2278</v>
      </c>
      <c r="X908" s="4" t="s">
        <v>2224</v>
      </c>
      <c r="Y908" s="4" t="s">
        <v>2469</v>
      </c>
      <c r="Z908" s="6">
        <v>16692.34</v>
      </c>
      <c r="AA908" s="6">
        <v>200308.08</v>
      </c>
      <c r="AB908" s="4" t="s">
        <v>2232</v>
      </c>
      <c r="AC908" s="7" t="s">
        <v>2224</v>
      </c>
    </row>
    <row r="909" spans="1:29" ht="15" customHeight="1" collapsed="1" thickBot="1" x14ac:dyDescent="0.3">
      <c r="A909" s="20" t="str">
        <f>CONCATENATE("560"," - ","MR", " ","Mpho"," ", "Penya")</f>
        <v>560 - MR Mpho Penya</v>
      </c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2"/>
    </row>
    <row r="910" spans="1:29" ht="15" hidden="1" customHeight="1" outlineLevel="1" thickBot="1" x14ac:dyDescent="0.3">
      <c r="A910" s="4" t="s">
        <v>3639</v>
      </c>
      <c r="B910" s="4" t="s">
        <v>460</v>
      </c>
      <c r="C910" s="4" t="s">
        <v>2220</v>
      </c>
      <c r="D910" s="5">
        <v>42962.461111111108</v>
      </c>
      <c r="E910" s="4" t="s">
        <v>2221</v>
      </c>
      <c r="F910" s="4" t="s">
        <v>2222</v>
      </c>
      <c r="G910" s="4" t="s">
        <v>2014</v>
      </c>
      <c r="H910" s="4" t="s">
        <v>788</v>
      </c>
      <c r="I910" s="4" t="s">
        <v>1463</v>
      </c>
      <c r="J910" s="4" t="s">
        <v>1655</v>
      </c>
      <c r="K910" s="5">
        <v>32019</v>
      </c>
      <c r="L910" s="4" t="s">
        <v>3640</v>
      </c>
      <c r="M910" s="4" t="s">
        <v>9</v>
      </c>
      <c r="N910" s="5">
        <v>41730</v>
      </c>
      <c r="O910" s="5" t="s">
        <v>2224</v>
      </c>
      <c r="P910" s="4" t="s">
        <v>2224</v>
      </c>
      <c r="Q910" s="4" t="s">
        <v>3641</v>
      </c>
      <c r="R910" s="4" t="s">
        <v>2226</v>
      </c>
      <c r="S910" s="4" t="s">
        <v>2227</v>
      </c>
      <c r="T910" s="4" t="s">
        <v>2228</v>
      </c>
      <c r="U910" s="4" t="s">
        <v>2229</v>
      </c>
      <c r="V910" s="4" t="s">
        <v>25</v>
      </c>
      <c r="W910" s="4" t="s">
        <v>2278</v>
      </c>
      <c r="X910" s="4" t="s">
        <v>2224</v>
      </c>
      <c r="Y910" s="4" t="s">
        <v>2423</v>
      </c>
      <c r="Z910" s="6">
        <v>10844.028399999999</v>
      </c>
      <c r="AA910" s="6">
        <v>130128.34</v>
      </c>
      <c r="AB910" s="4" t="s">
        <v>2232</v>
      </c>
      <c r="AC910" s="7" t="s">
        <v>2224</v>
      </c>
    </row>
    <row r="911" spans="1:29" ht="15" customHeight="1" collapsed="1" thickBot="1" x14ac:dyDescent="0.3">
      <c r="A911" s="20" t="str">
        <f>CONCATENATE("562"," - ","MISS", " ","Dane"," ", "Peters")</f>
        <v>562 - MISS Dane Peters</v>
      </c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2"/>
    </row>
    <row r="912" spans="1:29" ht="15" hidden="1" customHeight="1" outlineLevel="1" thickBot="1" x14ac:dyDescent="0.3">
      <c r="A912" s="4" t="s">
        <v>3642</v>
      </c>
      <c r="B912" s="4" t="s">
        <v>588</v>
      </c>
      <c r="C912" s="4" t="s">
        <v>2220</v>
      </c>
      <c r="D912" s="5">
        <v>42962.549999999996</v>
      </c>
      <c r="E912" s="4" t="s">
        <v>2221</v>
      </c>
      <c r="F912" s="4" t="s">
        <v>2222</v>
      </c>
      <c r="G912" s="4" t="s">
        <v>2234</v>
      </c>
      <c r="H912" s="4" t="s">
        <v>1534</v>
      </c>
      <c r="I912" s="4" t="s">
        <v>1891</v>
      </c>
      <c r="J912" s="4" t="s">
        <v>1890</v>
      </c>
      <c r="K912" s="5">
        <v>34570</v>
      </c>
      <c r="L912" s="4" t="s">
        <v>3643</v>
      </c>
      <c r="M912" s="4" t="s">
        <v>9</v>
      </c>
      <c r="N912" s="5">
        <v>42135</v>
      </c>
      <c r="O912" s="5" t="s">
        <v>2224</v>
      </c>
      <c r="P912" s="4" t="s">
        <v>2224</v>
      </c>
      <c r="Q912" s="4" t="s">
        <v>3644</v>
      </c>
      <c r="R912" s="4" t="s">
        <v>2226</v>
      </c>
      <c r="S912" s="4" t="s">
        <v>2227</v>
      </c>
      <c r="T912" s="4" t="s">
        <v>2228</v>
      </c>
      <c r="U912" s="4" t="s">
        <v>2237</v>
      </c>
      <c r="V912" s="4" t="s">
        <v>8</v>
      </c>
      <c r="W912" s="4" t="s">
        <v>2278</v>
      </c>
      <c r="X912" s="4" t="s">
        <v>2224</v>
      </c>
      <c r="Y912" s="4" t="s">
        <v>2239</v>
      </c>
      <c r="Z912" s="6">
        <v>16282.72</v>
      </c>
      <c r="AA912" s="6">
        <v>195392.64000000001</v>
      </c>
      <c r="AB912" s="4" t="s">
        <v>2232</v>
      </c>
      <c r="AC912" s="7" t="s">
        <v>2224</v>
      </c>
    </row>
    <row r="913" spans="1:29" ht="15" customHeight="1" collapsed="1" thickBot="1" x14ac:dyDescent="0.3">
      <c r="A913" s="20" t="str">
        <f>CONCATENATE("563"," - ","MISS", " ","Tamlynne"," ", "Petersen")</f>
        <v>563 - MISS Tamlynne Petersen</v>
      </c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2"/>
    </row>
    <row r="914" spans="1:29" ht="15" hidden="1" customHeight="1" outlineLevel="1" thickBot="1" x14ac:dyDescent="0.3">
      <c r="A914" s="4" t="s">
        <v>3645</v>
      </c>
      <c r="B914" s="4" t="s">
        <v>381</v>
      </c>
      <c r="C914" s="4" t="s">
        <v>2220</v>
      </c>
      <c r="D914" s="5">
        <v>42962.540277777778</v>
      </c>
      <c r="E914" s="4" t="s">
        <v>2221</v>
      </c>
      <c r="F914" s="4" t="s">
        <v>2222</v>
      </c>
      <c r="G914" s="4" t="s">
        <v>2234</v>
      </c>
      <c r="H914" s="4" t="s">
        <v>819</v>
      </c>
      <c r="I914" s="4" t="s">
        <v>1493</v>
      </c>
      <c r="J914" s="4" t="s">
        <v>1492</v>
      </c>
      <c r="K914" s="5">
        <v>34199</v>
      </c>
      <c r="L914" s="4" t="s">
        <v>3646</v>
      </c>
      <c r="M914" s="4" t="s">
        <v>9</v>
      </c>
      <c r="N914" s="5">
        <v>41456</v>
      </c>
      <c r="O914" s="5" t="s">
        <v>2224</v>
      </c>
      <c r="P914" s="4" t="s">
        <v>2224</v>
      </c>
      <c r="Q914" s="4" t="s">
        <v>3647</v>
      </c>
      <c r="R914" s="4" t="s">
        <v>2226</v>
      </c>
      <c r="S914" s="4" t="s">
        <v>2227</v>
      </c>
      <c r="T914" s="4" t="s">
        <v>2228</v>
      </c>
      <c r="U914" s="4" t="s">
        <v>2237</v>
      </c>
      <c r="V914" s="4" t="s">
        <v>8</v>
      </c>
      <c r="W914" s="4" t="s">
        <v>2278</v>
      </c>
      <c r="X914" s="4" t="s">
        <v>2224</v>
      </c>
      <c r="Y914" s="4" t="s">
        <v>2239</v>
      </c>
      <c r="Z914" s="6">
        <v>16692.34</v>
      </c>
      <c r="AA914" s="6">
        <v>200308.08</v>
      </c>
      <c r="AB914" s="4" t="s">
        <v>2232</v>
      </c>
      <c r="AC914" s="7" t="s">
        <v>2224</v>
      </c>
    </row>
    <row r="915" spans="1:29" ht="15" customHeight="1" collapsed="1" thickBot="1" x14ac:dyDescent="0.3">
      <c r="A915" s="20" t="str">
        <f>CONCATENATE("565"," - ","MR", " ","Erfaan"," ", "Phillips")</f>
        <v>565 - MR Erfaan Phillips</v>
      </c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2"/>
    </row>
    <row r="916" spans="1:29" ht="15" hidden="1" customHeight="1" outlineLevel="1" thickBot="1" x14ac:dyDescent="0.3">
      <c r="A916" s="4" t="s">
        <v>3648</v>
      </c>
      <c r="B916" s="4" t="s">
        <v>586</v>
      </c>
      <c r="C916" s="4" t="s">
        <v>2220</v>
      </c>
      <c r="D916" s="5">
        <v>42962.461111111108</v>
      </c>
      <c r="E916" s="4" t="s">
        <v>2221</v>
      </c>
      <c r="F916" s="4" t="s">
        <v>2222</v>
      </c>
      <c r="G916" s="4" t="s">
        <v>2014</v>
      </c>
      <c r="H916" s="4" t="s">
        <v>816</v>
      </c>
      <c r="I916" s="4" t="s">
        <v>1887</v>
      </c>
      <c r="J916" s="4" t="s">
        <v>1660</v>
      </c>
      <c r="K916" s="5">
        <v>32937</v>
      </c>
      <c r="L916" s="4" t="s">
        <v>3649</v>
      </c>
      <c r="M916" s="4" t="s">
        <v>9</v>
      </c>
      <c r="N916" s="5">
        <v>42135</v>
      </c>
      <c r="O916" s="5" t="s">
        <v>2224</v>
      </c>
      <c r="P916" s="4" t="s">
        <v>2224</v>
      </c>
      <c r="Q916" s="4" t="s">
        <v>3650</v>
      </c>
      <c r="R916" s="4" t="s">
        <v>2226</v>
      </c>
      <c r="S916" s="4" t="s">
        <v>2227</v>
      </c>
      <c r="T916" s="4" t="s">
        <v>2228</v>
      </c>
      <c r="U916" s="4" t="s">
        <v>2229</v>
      </c>
      <c r="V916" s="4" t="s">
        <v>25</v>
      </c>
      <c r="W916" s="4" t="s">
        <v>2278</v>
      </c>
      <c r="X916" s="4" t="s">
        <v>2224</v>
      </c>
      <c r="Y916" s="4" t="s">
        <v>2380</v>
      </c>
      <c r="Z916" s="6">
        <v>10710.1538</v>
      </c>
      <c r="AA916" s="6">
        <v>128521.85</v>
      </c>
      <c r="AB916" s="4" t="s">
        <v>2232</v>
      </c>
      <c r="AC916" s="7" t="s">
        <v>2224</v>
      </c>
    </row>
    <row r="917" spans="1:29" ht="15" customHeight="1" collapsed="1" thickBot="1" x14ac:dyDescent="0.3">
      <c r="A917" s="20" t="str">
        <f>CONCATENATE("566"," - ","MRS", " ","Sade"," ", "Phillips")</f>
        <v>566 - MRS Sade Phillips</v>
      </c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2"/>
    </row>
    <row r="918" spans="1:29" ht="15" hidden="1" customHeight="1" outlineLevel="1" thickBot="1" x14ac:dyDescent="0.3">
      <c r="A918" s="4" t="s">
        <v>3651</v>
      </c>
      <c r="B918" s="4" t="s">
        <v>463</v>
      </c>
      <c r="C918" s="4" t="s">
        <v>2220</v>
      </c>
      <c r="D918" s="5">
        <v>42962.461805555555</v>
      </c>
      <c r="E918" s="4" t="s">
        <v>2221</v>
      </c>
      <c r="F918" s="4" t="s">
        <v>2222</v>
      </c>
      <c r="G918" s="4" t="s">
        <v>2280</v>
      </c>
      <c r="H918" s="4" t="s">
        <v>800</v>
      </c>
      <c r="I918" s="4" t="s">
        <v>1661</v>
      </c>
      <c r="J918" s="4" t="s">
        <v>1660</v>
      </c>
      <c r="K918" s="5">
        <v>32486</v>
      </c>
      <c r="L918" s="4" t="s">
        <v>3652</v>
      </c>
      <c r="M918" s="4" t="s">
        <v>9</v>
      </c>
      <c r="N918" s="5">
        <v>41758</v>
      </c>
      <c r="O918" s="5" t="s">
        <v>2224</v>
      </c>
      <c r="P918" s="4" t="s">
        <v>2224</v>
      </c>
      <c r="Q918" s="4" t="s">
        <v>3653</v>
      </c>
      <c r="R918" s="4" t="s">
        <v>2226</v>
      </c>
      <c r="S918" s="4" t="s">
        <v>2227</v>
      </c>
      <c r="T918" s="4" t="s">
        <v>2228</v>
      </c>
      <c r="U918" s="4" t="s">
        <v>2229</v>
      </c>
      <c r="V918" s="4" t="s">
        <v>25</v>
      </c>
      <c r="W918" s="4" t="s">
        <v>2278</v>
      </c>
      <c r="X918" s="4" t="s">
        <v>2224</v>
      </c>
      <c r="Y918" s="4" t="s">
        <v>2419</v>
      </c>
      <c r="Z918" s="6">
        <v>16081.7</v>
      </c>
      <c r="AA918" s="6">
        <v>192980.4</v>
      </c>
      <c r="AB918" s="4" t="s">
        <v>2232</v>
      </c>
      <c r="AC918" s="7" t="s">
        <v>2224</v>
      </c>
    </row>
    <row r="919" spans="1:29" ht="15" customHeight="1" collapsed="1" thickBot="1" x14ac:dyDescent="0.3">
      <c r="A919" s="20" t="str">
        <f>CONCATENATE("567"," - ","MISS", " ","Kutloano"," ", "Phiri")</f>
        <v>567 - MISS Kutloano Phiri</v>
      </c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2"/>
    </row>
    <row r="920" spans="1:29" ht="15" hidden="1" customHeight="1" outlineLevel="1" thickBot="1" x14ac:dyDescent="0.3">
      <c r="A920" s="4" t="s">
        <v>3654</v>
      </c>
      <c r="B920" s="4" t="s">
        <v>537</v>
      </c>
      <c r="C920" s="4" t="s">
        <v>2220</v>
      </c>
      <c r="D920" s="5">
        <v>42962.549999999996</v>
      </c>
      <c r="E920" s="4" t="s">
        <v>2221</v>
      </c>
      <c r="F920" s="4" t="s">
        <v>2222</v>
      </c>
      <c r="G920" s="4" t="s">
        <v>2234</v>
      </c>
      <c r="H920" s="4" t="s">
        <v>1120</v>
      </c>
      <c r="I920" s="4" t="s">
        <v>1803</v>
      </c>
      <c r="J920" s="4" t="s">
        <v>1802</v>
      </c>
      <c r="K920" s="5">
        <v>33497</v>
      </c>
      <c r="L920" s="4" t="s">
        <v>3655</v>
      </c>
      <c r="M920" s="4" t="s">
        <v>9</v>
      </c>
      <c r="N920" s="5">
        <v>42072</v>
      </c>
      <c r="O920" s="5" t="s">
        <v>2224</v>
      </c>
      <c r="P920" s="4" t="s">
        <v>2224</v>
      </c>
      <c r="Q920" s="4" t="s">
        <v>2552</v>
      </c>
      <c r="R920" s="4" t="s">
        <v>2226</v>
      </c>
      <c r="S920" s="4" t="s">
        <v>2227</v>
      </c>
      <c r="T920" s="4" t="s">
        <v>2228</v>
      </c>
      <c r="U920" s="4" t="s">
        <v>2237</v>
      </c>
      <c r="V920" s="4" t="s">
        <v>8</v>
      </c>
      <c r="W920" s="4" t="s">
        <v>2278</v>
      </c>
      <c r="X920" s="4" t="s">
        <v>2224</v>
      </c>
      <c r="Y920" s="4" t="s">
        <v>2239</v>
      </c>
      <c r="Z920" s="6">
        <v>16081.7</v>
      </c>
      <c r="AA920" s="6">
        <v>192980.4</v>
      </c>
      <c r="AB920" s="4" t="s">
        <v>2232</v>
      </c>
      <c r="AC920" s="7" t="s">
        <v>2224</v>
      </c>
    </row>
    <row r="921" spans="1:29" ht="15" customHeight="1" collapsed="1" thickBot="1" x14ac:dyDescent="0.3">
      <c r="A921" s="20" t="str">
        <f>CONCATENATE("568"," - ","MR", " ","Pierre"," ", "Pienaar")</f>
        <v>568 - MR Pierre Pienaar</v>
      </c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2"/>
    </row>
    <row r="922" spans="1:29" ht="15" hidden="1" customHeight="1" outlineLevel="1" thickBot="1" x14ac:dyDescent="0.3">
      <c r="A922" s="4" t="s">
        <v>3656</v>
      </c>
      <c r="B922" s="4" t="s">
        <v>305</v>
      </c>
      <c r="C922" s="4" t="s">
        <v>2220</v>
      </c>
      <c r="D922" s="5">
        <v>42963.284722222219</v>
      </c>
      <c r="E922" s="4" t="s">
        <v>2221</v>
      </c>
      <c r="F922" s="4" t="s">
        <v>2222</v>
      </c>
      <c r="G922" s="4" t="s">
        <v>2014</v>
      </c>
      <c r="H922" s="4" t="s">
        <v>977</v>
      </c>
      <c r="I922" s="4" t="s">
        <v>1352</v>
      </c>
      <c r="J922" s="4" t="s">
        <v>1345</v>
      </c>
      <c r="K922" s="5">
        <v>21087</v>
      </c>
      <c r="L922" s="4" t="s">
        <v>3657</v>
      </c>
      <c r="M922" s="4" t="s">
        <v>9</v>
      </c>
      <c r="N922" s="5">
        <v>41092</v>
      </c>
      <c r="O922" s="5" t="s">
        <v>2224</v>
      </c>
      <c r="P922" s="4" t="s">
        <v>2224</v>
      </c>
      <c r="Q922" s="4" t="s">
        <v>3658</v>
      </c>
      <c r="R922" s="4" t="s">
        <v>2226</v>
      </c>
      <c r="S922" s="4" t="s">
        <v>2227</v>
      </c>
      <c r="T922" s="4" t="s">
        <v>2228</v>
      </c>
      <c r="U922" s="4" t="s">
        <v>2258</v>
      </c>
      <c r="V922" s="4" t="s">
        <v>13</v>
      </c>
      <c r="W922" s="4" t="s">
        <v>2249</v>
      </c>
      <c r="X922" s="4" t="s">
        <v>2224</v>
      </c>
      <c r="Y922" s="4" t="s">
        <v>2259</v>
      </c>
      <c r="Z922" s="6">
        <v>116515.39</v>
      </c>
      <c r="AA922" s="6">
        <v>1398184.68</v>
      </c>
      <c r="AB922" s="4" t="s">
        <v>2232</v>
      </c>
      <c r="AC922" s="7" t="s">
        <v>2224</v>
      </c>
    </row>
    <row r="923" spans="1:29" ht="15" customHeight="1" collapsed="1" thickBot="1" x14ac:dyDescent="0.3">
      <c r="A923" s="20" t="str">
        <f>CONCATENATE("569"," - ","MR", " ","Pieter"," ", "Pienaar")</f>
        <v>569 - MR Pieter Pienaar</v>
      </c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2"/>
    </row>
    <row r="924" spans="1:29" ht="15" hidden="1" customHeight="1" outlineLevel="1" thickBot="1" x14ac:dyDescent="0.3">
      <c r="A924" s="4" t="s">
        <v>3659</v>
      </c>
      <c r="B924" s="4" t="s">
        <v>300</v>
      </c>
      <c r="C924" s="4" t="s">
        <v>2220</v>
      </c>
      <c r="D924" s="5">
        <v>42963.284722222219</v>
      </c>
      <c r="E924" s="4" t="s">
        <v>2221</v>
      </c>
      <c r="F924" s="4" t="s">
        <v>2222</v>
      </c>
      <c r="G924" s="4" t="s">
        <v>2014</v>
      </c>
      <c r="H924" s="4" t="s">
        <v>781</v>
      </c>
      <c r="I924" s="4" t="s">
        <v>978</v>
      </c>
      <c r="J924" s="4" t="s">
        <v>1345</v>
      </c>
      <c r="K924" s="5">
        <v>20787</v>
      </c>
      <c r="L924" s="4" t="s">
        <v>3660</v>
      </c>
      <c r="M924" s="4" t="s">
        <v>9</v>
      </c>
      <c r="N924" s="5">
        <v>41064</v>
      </c>
      <c r="O924" s="5" t="s">
        <v>2224</v>
      </c>
      <c r="P924" s="4" t="s">
        <v>2224</v>
      </c>
      <c r="Q924" s="4" t="s">
        <v>3661</v>
      </c>
      <c r="R924" s="4" t="s">
        <v>2226</v>
      </c>
      <c r="S924" s="4" t="s">
        <v>2227</v>
      </c>
      <c r="T924" s="4" t="s">
        <v>2228</v>
      </c>
      <c r="U924" s="4" t="s">
        <v>2258</v>
      </c>
      <c r="V924" s="4" t="s">
        <v>55</v>
      </c>
      <c r="W924" s="4" t="s">
        <v>2249</v>
      </c>
      <c r="X924" s="4" t="s">
        <v>2224</v>
      </c>
      <c r="Y924" s="4" t="s">
        <v>2259</v>
      </c>
      <c r="Z924" s="6">
        <v>122341.16</v>
      </c>
      <c r="AA924" s="6">
        <v>1468093.92</v>
      </c>
      <c r="AB924" s="4" t="s">
        <v>2232</v>
      </c>
      <c r="AC924" s="7" t="s">
        <v>2224</v>
      </c>
    </row>
    <row r="925" spans="1:29" ht="15" customHeight="1" collapsed="1" thickBot="1" x14ac:dyDescent="0.3">
      <c r="A925" s="20" t="str">
        <f>CONCATENATE("570"," - ","MISS", " ","Shamilla"," ", "Pillay")</f>
        <v>570 - MISS Shamilla Pillay</v>
      </c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2"/>
    </row>
    <row r="926" spans="1:29" ht="15" hidden="1" customHeight="1" outlineLevel="1" thickBot="1" x14ac:dyDescent="0.3">
      <c r="A926" s="4" t="s">
        <v>3662</v>
      </c>
      <c r="B926" s="4" t="s">
        <v>353</v>
      </c>
      <c r="C926" s="4" t="s">
        <v>2220</v>
      </c>
      <c r="D926" s="5">
        <v>42962.549999999996</v>
      </c>
      <c r="E926" s="4" t="s">
        <v>2221</v>
      </c>
      <c r="F926" s="4" t="s">
        <v>2222</v>
      </c>
      <c r="G926" s="4" t="s">
        <v>2234</v>
      </c>
      <c r="H926" s="4" t="s">
        <v>800</v>
      </c>
      <c r="I926" s="4" t="s">
        <v>1445</v>
      </c>
      <c r="J926" s="4" t="s">
        <v>906</v>
      </c>
      <c r="K926" s="5">
        <v>27090</v>
      </c>
      <c r="L926" s="4" t="s">
        <v>3663</v>
      </c>
      <c r="M926" s="4" t="s">
        <v>9</v>
      </c>
      <c r="N926" s="5">
        <v>41307</v>
      </c>
      <c r="O926" s="5" t="s">
        <v>2224</v>
      </c>
      <c r="P926" s="4" t="s">
        <v>2224</v>
      </c>
      <c r="Q926" s="4" t="s">
        <v>3664</v>
      </c>
      <c r="R926" s="4" t="s">
        <v>2226</v>
      </c>
      <c r="S926" s="4" t="s">
        <v>2227</v>
      </c>
      <c r="T926" s="4" t="s">
        <v>2228</v>
      </c>
      <c r="U926" s="4" t="s">
        <v>2237</v>
      </c>
      <c r="V926" s="4" t="s">
        <v>125</v>
      </c>
      <c r="W926" s="4" t="s">
        <v>2230</v>
      </c>
      <c r="X926" s="4" t="s">
        <v>2224</v>
      </c>
      <c r="Y926" s="4" t="s">
        <v>2239</v>
      </c>
      <c r="Z926" s="6">
        <v>20646.896499999999</v>
      </c>
      <c r="AA926" s="6">
        <v>247762.76</v>
      </c>
      <c r="AB926" s="4" t="s">
        <v>2232</v>
      </c>
      <c r="AC926" s="7" t="s">
        <v>2224</v>
      </c>
    </row>
    <row r="927" spans="1:29" ht="15" customHeight="1" collapsed="1" thickBot="1" x14ac:dyDescent="0.3">
      <c r="A927" s="20" t="str">
        <f>CONCATENATE("571"," - ","MR", " ","Vegeshen"," ", "Pillay")</f>
        <v>571 - MR Vegeshen Pillay</v>
      </c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2"/>
    </row>
    <row r="928" spans="1:29" ht="15" hidden="1" customHeight="1" outlineLevel="1" thickBot="1" x14ac:dyDescent="0.3">
      <c r="A928" s="4" t="s">
        <v>3665</v>
      </c>
      <c r="B928" s="4" t="s">
        <v>74</v>
      </c>
      <c r="C928" s="4" t="s">
        <v>2220</v>
      </c>
      <c r="D928" s="5">
        <v>42962.461805555555</v>
      </c>
      <c r="E928" s="4" t="s">
        <v>2221</v>
      </c>
      <c r="F928" s="4" t="s">
        <v>2222</v>
      </c>
      <c r="G928" s="4" t="s">
        <v>2014</v>
      </c>
      <c r="H928" s="4" t="s">
        <v>907</v>
      </c>
      <c r="I928" s="4" t="s">
        <v>908</v>
      </c>
      <c r="J928" s="4" t="s">
        <v>906</v>
      </c>
      <c r="K928" s="5">
        <v>26680</v>
      </c>
      <c r="L928" s="4" t="s">
        <v>3666</v>
      </c>
      <c r="M928" s="4" t="s">
        <v>9</v>
      </c>
      <c r="N928" s="5">
        <v>39013</v>
      </c>
      <c r="O928" s="5" t="s">
        <v>2224</v>
      </c>
      <c r="P928" s="4" t="s">
        <v>2224</v>
      </c>
      <c r="Q928" s="4" t="s">
        <v>3667</v>
      </c>
      <c r="R928" s="4" t="s">
        <v>2226</v>
      </c>
      <c r="S928" s="4" t="s">
        <v>2227</v>
      </c>
      <c r="T928" s="4" t="s">
        <v>2228</v>
      </c>
      <c r="U928" s="4" t="s">
        <v>2229</v>
      </c>
      <c r="V928" s="4" t="s">
        <v>75</v>
      </c>
      <c r="W928" s="4" t="s">
        <v>2249</v>
      </c>
      <c r="X928" s="4" t="s">
        <v>2224</v>
      </c>
      <c r="Y928" s="4" t="s">
        <v>2621</v>
      </c>
      <c r="Z928" s="6">
        <v>34940.400000000001</v>
      </c>
      <c r="AA928" s="6">
        <v>419284.8</v>
      </c>
      <c r="AB928" s="4" t="s">
        <v>2232</v>
      </c>
      <c r="AC928" s="7" t="s">
        <v>2224</v>
      </c>
    </row>
    <row r="929" spans="1:29" ht="15" customHeight="1" collapsed="1" thickBot="1" x14ac:dyDescent="0.3">
      <c r="A929" s="20" t="str">
        <f>CONCATENATE("572"," - ","MISS", " ","Walia"," ", "Pochee")</f>
        <v>572 - MISS Walia Pochee</v>
      </c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2"/>
    </row>
    <row r="930" spans="1:29" ht="15" hidden="1" customHeight="1" outlineLevel="1" thickBot="1" x14ac:dyDescent="0.3">
      <c r="A930" s="4" t="s">
        <v>3668</v>
      </c>
      <c r="B930" s="4" t="s">
        <v>423</v>
      </c>
      <c r="C930" s="4" t="s">
        <v>2220</v>
      </c>
      <c r="D930" s="5">
        <v>42962.549999999996</v>
      </c>
      <c r="E930" s="4" t="s">
        <v>2221</v>
      </c>
      <c r="F930" s="4" t="s">
        <v>2222</v>
      </c>
      <c r="G930" s="4" t="s">
        <v>2234</v>
      </c>
      <c r="H930" s="4" t="s">
        <v>745</v>
      </c>
      <c r="I930" s="4" t="s">
        <v>1575</v>
      </c>
      <c r="J930" s="4" t="s">
        <v>1574</v>
      </c>
      <c r="K930" s="5">
        <v>33925</v>
      </c>
      <c r="L930" s="4" t="s">
        <v>3669</v>
      </c>
      <c r="M930" s="4" t="s">
        <v>9</v>
      </c>
      <c r="N930" s="5">
        <v>41556</v>
      </c>
      <c r="O930" s="5" t="s">
        <v>2224</v>
      </c>
      <c r="P930" s="4" t="s">
        <v>2224</v>
      </c>
      <c r="Q930" s="4" t="s">
        <v>3670</v>
      </c>
      <c r="R930" s="4" t="s">
        <v>2226</v>
      </c>
      <c r="S930" s="4" t="s">
        <v>2227</v>
      </c>
      <c r="T930" s="4" t="s">
        <v>2228</v>
      </c>
      <c r="U930" s="4" t="s">
        <v>2237</v>
      </c>
      <c r="V930" s="4" t="s">
        <v>125</v>
      </c>
      <c r="W930" s="4" t="s">
        <v>2230</v>
      </c>
      <c r="X930" s="4" t="s">
        <v>2224</v>
      </c>
      <c r="Y930" s="4" t="s">
        <v>2239</v>
      </c>
      <c r="Z930" s="6">
        <v>20140.25</v>
      </c>
      <c r="AA930" s="6">
        <v>241683</v>
      </c>
      <c r="AB930" s="4" t="s">
        <v>2232</v>
      </c>
      <c r="AC930" s="7" t="s">
        <v>2224</v>
      </c>
    </row>
    <row r="931" spans="1:29" ht="15" customHeight="1" collapsed="1" thickBot="1" x14ac:dyDescent="0.3">
      <c r="A931" s="20" t="str">
        <f>CONCATENATE("573"," - ","MISS", " ","Lucetta"," ", "Potlaki")</f>
        <v>573 - MISS Lucetta Potlaki</v>
      </c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2"/>
    </row>
    <row r="932" spans="1:29" ht="15" hidden="1" customHeight="1" outlineLevel="1" thickBot="1" x14ac:dyDescent="0.3">
      <c r="A932" s="4" t="s">
        <v>3671</v>
      </c>
      <c r="B932" s="4" t="s">
        <v>60</v>
      </c>
      <c r="C932" s="4" t="s">
        <v>2220</v>
      </c>
      <c r="D932" s="5">
        <v>42962.461805555555</v>
      </c>
      <c r="E932" s="4" t="s">
        <v>2221</v>
      </c>
      <c r="F932" s="4" t="s">
        <v>2222</v>
      </c>
      <c r="G932" s="4" t="s">
        <v>2234</v>
      </c>
      <c r="H932" s="4" t="s">
        <v>878</v>
      </c>
      <c r="I932" s="4" t="s">
        <v>879</v>
      </c>
      <c r="J932" s="4" t="s">
        <v>877</v>
      </c>
      <c r="K932" s="5">
        <v>30224</v>
      </c>
      <c r="L932" s="4" t="s">
        <v>3672</v>
      </c>
      <c r="M932" s="4" t="s">
        <v>9</v>
      </c>
      <c r="N932" s="5">
        <v>38992</v>
      </c>
      <c r="O932" s="5" t="s">
        <v>2224</v>
      </c>
      <c r="P932" s="4" t="s">
        <v>2224</v>
      </c>
      <c r="Q932" s="4" t="s">
        <v>3673</v>
      </c>
      <c r="R932" s="4" t="s">
        <v>2226</v>
      </c>
      <c r="S932" s="4" t="s">
        <v>2227</v>
      </c>
      <c r="T932" s="4" t="s">
        <v>2228</v>
      </c>
      <c r="U932" s="4" t="s">
        <v>2229</v>
      </c>
      <c r="V932" s="4" t="s">
        <v>25</v>
      </c>
      <c r="W932" s="4" t="s">
        <v>2278</v>
      </c>
      <c r="X932" s="4" t="s">
        <v>2224</v>
      </c>
      <c r="Y932" s="4" t="s">
        <v>2449</v>
      </c>
      <c r="Z932" s="6">
        <v>17112.2621</v>
      </c>
      <c r="AA932" s="6">
        <v>205347.15</v>
      </c>
      <c r="AB932" s="4" t="s">
        <v>2232</v>
      </c>
      <c r="AC932" s="7" t="s">
        <v>2224</v>
      </c>
    </row>
    <row r="933" spans="1:29" ht="15" customHeight="1" collapsed="1" thickBot="1" x14ac:dyDescent="0.3">
      <c r="A933" s="20" t="str">
        <f>CONCATENATE("574"," - ","MISS", " ","Amanda"," ", "Potwana")</f>
        <v>574 - MISS Amanda Potwana</v>
      </c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2"/>
    </row>
    <row r="934" spans="1:29" ht="15" hidden="1" customHeight="1" outlineLevel="1" thickBot="1" x14ac:dyDescent="0.3">
      <c r="A934" s="4" t="s">
        <v>3674</v>
      </c>
      <c r="B934" s="4" t="s">
        <v>533</v>
      </c>
      <c r="C934" s="4" t="s">
        <v>2220</v>
      </c>
      <c r="D934" s="5">
        <v>42962.549999999996</v>
      </c>
      <c r="E934" s="4" t="s">
        <v>2221</v>
      </c>
      <c r="F934" s="4" t="s">
        <v>2222</v>
      </c>
      <c r="G934" s="4" t="s">
        <v>2234</v>
      </c>
      <c r="H934" s="4" t="s">
        <v>742</v>
      </c>
      <c r="I934" s="4" t="s">
        <v>1796</v>
      </c>
      <c r="J934" s="4" t="s">
        <v>1795</v>
      </c>
      <c r="K934" s="5">
        <v>32639</v>
      </c>
      <c r="L934" s="4" t="s">
        <v>3675</v>
      </c>
      <c r="M934" s="4" t="s">
        <v>9</v>
      </c>
      <c r="N934" s="5">
        <v>42072</v>
      </c>
      <c r="O934" s="5" t="s">
        <v>2224</v>
      </c>
      <c r="P934" s="4" t="s">
        <v>2224</v>
      </c>
      <c r="Q934" s="4" t="s">
        <v>2552</v>
      </c>
      <c r="R934" s="4" t="s">
        <v>2226</v>
      </c>
      <c r="S934" s="4" t="s">
        <v>2227</v>
      </c>
      <c r="T934" s="4" t="s">
        <v>2228</v>
      </c>
      <c r="U934" s="4" t="s">
        <v>2237</v>
      </c>
      <c r="V934" s="4" t="s">
        <v>8</v>
      </c>
      <c r="W934" s="4" t="s">
        <v>2278</v>
      </c>
      <c r="X934" s="4" t="s">
        <v>2224</v>
      </c>
      <c r="Y934" s="4" t="s">
        <v>2239</v>
      </c>
      <c r="Z934" s="6">
        <v>16081.7</v>
      </c>
      <c r="AA934" s="6">
        <v>192980.4</v>
      </c>
      <c r="AB934" s="4" t="s">
        <v>2232</v>
      </c>
      <c r="AC934" s="7" t="s">
        <v>2224</v>
      </c>
    </row>
    <row r="935" spans="1:29" ht="15" customHeight="1" collapsed="1" thickBot="1" x14ac:dyDescent="0.3">
      <c r="A935" s="20" t="str">
        <f>CONCATENATE("575"," - ","MS", " ","Nadia"," ", "Pretorius")</f>
        <v>575 - MS Nadia Pretorius</v>
      </c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2"/>
    </row>
    <row r="936" spans="1:29" ht="15" hidden="1" customHeight="1" outlineLevel="1" thickBot="1" x14ac:dyDescent="0.3">
      <c r="A936" s="4" t="s">
        <v>3676</v>
      </c>
      <c r="B936" s="4" t="s">
        <v>695</v>
      </c>
      <c r="C936" s="4" t="s">
        <v>2220</v>
      </c>
      <c r="D936" s="5">
        <v>42962.462500000001</v>
      </c>
      <c r="E936" s="4" t="s">
        <v>2221</v>
      </c>
      <c r="F936" s="4" t="s">
        <v>2222</v>
      </c>
      <c r="G936" s="4" t="s">
        <v>813</v>
      </c>
      <c r="H936" s="4" t="s">
        <v>797</v>
      </c>
      <c r="I936" s="4" t="s">
        <v>2057</v>
      </c>
      <c r="J936" s="4" t="s">
        <v>2056</v>
      </c>
      <c r="K936" s="5">
        <v>29388</v>
      </c>
      <c r="L936" s="4" t="s">
        <v>3677</v>
      </c>
      <c r="M936" s="4" t="s">
        <v>9</v>
      </c>
      <c r="N936" s="5">
        <v>42544</v>
      </c>
      <c r="O936" s="5" t="s">
        <v>2224</v>
      </c>
      <c r="P936" s="4" t="s">
        <v>2224</v>
      </c>
      <c r="Q936" s="4" t="s">
        <v>3678</v>
      </c>
      <c r="R936" s="4" t="s">
        <v>2226</v>
      </c>
      <c r="S936" s="4" t="s">
        <v>2227</v>
      </c>
      <c r="T936" s="4" t="s">
        <v>2228</v>
      </c>
      <c r="U936" s="4" t="s">
        <v>2248</v>
      </c>
      <c r="V936" s="4" t="s">
        <v>416</v>
      </c>
      <c r="W936" s="4" t="s">
        <v>2249</v>
      </c>
      <c r="X936" s="4" t="s">
        <v>2224</v>
      </c>
      <c r="Y936" s="4" t="s">
        <v>3014</v>
      </c>
      <c r="Z936" s="6">
        <v>58234</v>
      </c>
      <c r="AA936" s="6">
        <v>698808</v>
      </c>
      <c r="AB936" s="4" t="s">
        <v>2232</v>
      </c>
      <c r="AC936" s="7" t="s">
        <v>2224</v>
      </c>
    </row>
    <row r="937" spans="1:29" ht="15" customHeight="1" collapsed="1" thickBot="1" x14ac:dyDescent="0.3">
      <c r="A937" s="20" t="str">
        <f>CONCATENATE("576"," - ","MR", " ","LUTHRINE"," ", "PRINS")</f>
        <v>576 - MR LUTHRINE PRINS</v>
      </c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2"/>
    </row>
    <row r="938" spans="1:29" ht="15" hidden="1" customHeight="1" outlineLevel="1" thickBot="1" x14ac:dyDescent="0.3">
      <c r="A938" s="4" t="s">
        <v>3679</v>
      </c>
      <c r="B938" s="4" t="s">
        <v>174</v>
      </c>
      <c r="C938" s="4" t="s">
        <v>2220</v>
      </c>
      <c r="D938" s="5">
        <v>42962.536111111112</v>
      </c>
      <c r="E938" s="4" t="s">
        <v>2221</v>
      </c>
      <c r="F938" s="4" t="s">
        <v>2222</v>
      </c>
      <c r="G938" s="4" t="s">
        <v>2014</v>
      </c>
      <c r="H938" s="4" t="s">
        <v>826</v>
      </c>
      <c r="I938" s="4" t="s">
        <v>1108</v>
      </c>
      <c r="J938" s="4" t="s">
        <v>1107</v>
      </c>
      <c r="K938" s="5">
        <v>31668</v>
      </c>
      <c r="L938" s="4" t="s">
        <v>3680</v>
      </c>
      <c r="M938" s="4" t="s">
        <v>9</v>
      </c>
      <c r="N938" s="5">
        <v>39387</v>
      </c>
      <c r="O938" s="5" t="s">
        <v>2224</v>
      </c>
      <c r="P938" s="4" t="s">
        <v>2224</v>
      </c>
      <c r="Q938" s="4" t="s">
        <v>3681</v>
      </c>
      <c r="R938" s="4" t="s">
        <v>2226</v>
      </c>
      <c r="S938" s="4" t="s">
        <v>2227</v>
      </c>
      <c r="T938" s="4" t="s">
        <v>2228</v>
      </c>
      <c r="U938" s="4" t="s">
        <v>2237</v>
      </c>
      <c r="V938" s="4" t="s">
        <v>8</v>
      </c>
      <c r="W938" s="4" t="s">
        <v>2238</v>
      </c>
      <c r="X938" s="4" t="s">
        <v>2224</v>
      </c>
      <c r="Y938" s="4" t="s">
        <v>2239</v>
      </c>
      <c r="Z938" s="6">
        <v>17112.251499999998</v>
      </c>
      <c r="AA938" s="6">
        <v>205347.02</v>
      </c>
      <c r="AB938" s="4" t="s">
        <v>2232</v>
      </c>
      <c r="AC938" s="7" t="s">
        <v>2224</v>
      </c>
    </row>
    <row r="939" spans="1:29" ht="15" customHeight="1" collapsed="1" thickBot="1" x14ac:dyDescent="0.3">
      <c r="A939" s="20" t="str">
        <f>CONCATENATE("578"," - ","MR", " ","Godracious"," ", "Pule")</f>
        <v>578 - MR Godracious Pule</v>
      </c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2"/>
    </row>
    <row r="940" spans="1:29" ht="15" hidden="1" customHeight="1" outlineLevel="1" thickBot="1" x14ac:dyDescent="0.3">
      <c r="A940" s="4" t="s">
        <v>3682</v>
      </c>
      <c r="B940" s="4" t="s">
        <v>625</v>
      </c>
      <c r="C940" s="4" t="s">
        <v>2220</v>
      </c>
      <c r="D940" s="5">
        <v>42951.399305555555</v>
      </c>
      <c r="E940" s="4" t="s">
        <v>2221</v>
      </c>
      <c r="F940" s="4" t="s">
        <v>2222</v>
      </c>
      <c r="G940" s="4" t="s">
        <v>2014</v>
      </c>
      <c r="H940" s="4" t="s">
        <v>1945</v>
      </c>
      <c r="I940" s="4" t="s">
        <v>1946</v>
      </c>
      <c r="J940" s="4" t="s">
        <v>1944</v>
      </c>
      <c r="K940" s="5">
        <v>30916</v>
      </c>
      <c r="L940" s="4" t="s">
        <v>3683</v>
      </c>
      <c r="M940" s="4" t="s">
        <v>9</v>
      </c>
      <c r="N940" s="5">
        <v>42309</v>
      </c>
      <c r="O940" s="5" t="s">
        <v>2224</v>
      </c>
      <c r="P940" s="4" t="s">
        <v>2224</v>
      </c>
      <c r="Q940" s="4" t="s">
        <v>3684</v>
      </c>
      <c r="R940" s="4" t="s">
        <v>2226</v>
      </c>
      <c r="S940" s="4" t="s">
        <v>2227</v>
      </c>
      <c r="T940" s="4" t="s">
        <v>2228</v>
      </c>
      <c r="U940" s="4" t="s">
        <v>2248</v>
      </c>
      <c r="V940" s="4" t="s">
        <v>297</v>
      </c>
      <c r="W940" s="4" t="s">
        <v>2249</v>
      </c>
      <c r="X940" s="4" t="s">
        <v>2224</v>
      </c>
      <c r="Y940" s="4" t="s">
        <v>2597</v>
      </c>
      <c r="Z940" s="6">
        <v>42340.808499999999</v>
      </c>
      <c r="AA940" s="6">
        <v>508089.7</v>
      </c>
      <c r="AB940" s="4" t="s">
        <v>2232</v>
      </c>
      <c r="AC940" s="7" t="s">
        <v>2224</v>
      </c>
    </row>
    <row r="941" spans="1:29" ht="15" customHeight="1" collapsed="1" thickBot="1" x14ac:dyDescent="0.3">
      <c r="A941" s="20" t="str">
        <f>CONCATENATE("579"," - ","MISS", " ","Nolitha"," ", "Qaba")</f>
        <v>579 - MISS Nolitha Qaba</v>
      </c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2"/>
    </row>
    <row r="942" spans="1:29" ht="15" hidden="1" customHeight="1" outlineLevel="1" thickBot="1" x14ac:dyDescent="0.3">
      <c r="A942" s="4" t="s">
        <v>3685</v>
      </c>
      <c r="B942" s="4" t="s">
        <v>67</v>
      </c>
      <c r="C942" s="4" t="s">
        <v>2220</v>
      </c>
      <c r="D942" s="5">
        <v>42962.461805555555</v>
      </c>
      <c r="E942" s="4" t="s">
        <v>2221</v>
      </c>
      <c r="F942" s="4" t="s">
        <v>2222</v>
      </c>
      <c r="G942" s="4" t="s">
        <v>2234</v>
      </c>
      <c r="H942" s="4" t="s">
        <v>895</v>
      </c>
      <c r="I942" s="4" t="s">
        <v>896</v>
      </c>
      <c r="J942" s="4" t="s">
        <v>894</v>
      </c>
      <c r="K942" s="5">
        <v>28761</v>
      </c>
      <c r="L942" s="4" t="s">
        <v>3686</v>
      </c>
      <c r="M942" s="4" t="s">
        <v>9</v>
      </c>
      <c r="N942" s="5">
        <v>38999</v>
      </c>
      <c r="O942" s="5" t="s">
        <v>2224</v>
      </c>
      <c r="P942" s="4" t="s">
        <v>2224</v>
      </c>
      <c r="Q942" s="4" t="s">
        <v>3687</v>
      </c>
      <c r="R942" s="4" t="s">
        <v>2226</v>
      </c>
      <c r="S942" s="4" t="s">
        <v>2227</v>
      </c>
      <c r="T942" s="4" t="s">
        <v>2228</v>
      </c>
      <c r="U942" s="4" t="s">
        <v>2229</v>
      </c>
      <c r="V942" s="4" t="s">
        <v>25</v>
      </c>
      <c r="W942" s="4" t="s">
        <v>2278</v>
      </c>
      <c r="X942" s="4" t="s">
        <v>2224</v>
      </c>
      <c r="Y942" s="4" t="s">
        <v>2231</v>
      </c>
      <c r="Z942" s="6">
        <v>17112.2621</v>
      </c>
      <c r="AA942" s="6">
        <v>205347.15</v>
      </c>
      <c r="AB942" s="4" t="s">
        <v>2232</v>
      </c>
      <c r="AC942" s="7" t="s">
        <v>2224</v>
      </c>
    </row>
    <row r="943" spans="1:29" ht="15" customHeight="1" collapsed="1" thickBot="1" x14ac:dyDescent="0.3">
      <c r="A943" s="20" t="str">
        <f>CONCATENATE("58"," - ","MRS", " ","Zarish"," ", "Bhatti")</f>
        <v>58 - MRS Zarish Bhatti</v>
      </c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2"/>
    </row>
    <row r="944" spans="1:29" ht="15" hidden="1" customHeight="1" outlineLevel="1" thickBot="1" x14ac:dyDescent="0.3">
      <c r="A944" s="4" t="s">
        <v>3688</v>
      </c>
      <c r="B944" s="4" t="s">
        <v>287</v>
      </c>
      <c r="C944" s="4" t="s">
        <v>2220</v>
      </c>
      <c r="D944" s="5">
        <v>42957.390277777777</v>
      </c>
      <c r="E944" s="4" t="s">
        <v>2221</v>
      </c>
      <c r="F944" s="4" t="s">
        <v>2222</v>
      </c>
      <c r="G944" s="4" t="s">
        <v>2280</v>
      </c>
      <c r="H944" s="4" t="s">
        <v>934</v>
      </c>
      <c r="I944" s="4" t="s">
        <v>1326</v>
      </c>
      <c r="J944" s="4" t="s">
        <v>1325</v>
      </c>
      <c r="K944" s="5">
        <v>29894</v>
      </c>
      <c r="L944" s="4" t="s">
        <v>2224</v>
      </c>
      <c r="M944" s="4" t="s">
        <v>9</v>
      </c>
      <c r="N944" s="5">
        <v>40848</v>
      </c>
      <c r="O944" s="5" t="s">
        <v>2224</v>
      </c>
      <c r="P944" s="4" t="s">
        <v>2224</v>
      </c>
      <c r="Q944" s="4" t="s">
        <v>3689</v>
      </c>
      <c r="R944" s="4" t="s">
        <v>2226</v>
      </c>
      <c r="S944" s="4" t="s">
        <v>2227</v>
      </c>
      <c r="T944" s="4" t="s">
        <v>2228</v>
      </c>
      <c r="U944" s="4" t="s">
        <v>2248</v>
      </c>
      <c r="V944" s="4" t="s">
        <v>288</v>
      </c>
      <c r="W944" s="4" t="s">
        <v>2249</v>
      </c>
      <c r="X944" s="4" t="s">
        <v>2224</v>
      </c>
      <c r="Y944" s="4" t="s">
        <v>2254</v>
      </c>
      <c r="Z944" s="6">
        <v>77821.8</v>
      </c>
      <c r="AA944" s="6">
        <v>933861.6</v>
      </c>
      <c r="AB944" s="4" t="s">
        <v>2232</v>
      </c>
      <c r="AC944" s="7" t="s">
        <v>2224</v>
      </c>
    </row>
    <row r="945" spans="1:29" ht="15" customHeight="1" collapsed="1" thickBot="1" x14ac:dyDescent="0.3">
      <c r="A945" s="20" t="str">
        <f>CONCATENATE("580"," - ","MISS", " ","Ncedile"," ", "Qwabe")</f>
        <v>580 - MISS Ncedile Qwabe</v>
      </c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2"/>
    </row>
    <row r="946" spans="1:29" ht="15" hidden="1" customHeight="1" outlineLevel="1" thickBot="1" x14ac:dyDescent="0.3">
      <c r="A946" s="4" t="s">
        <v>3690</v>
      </c>
      <c r="B946" s="4" t="s">
        <v>368</v>
      </c>
      <c r="C946" s="4" t="s">
        <v>2220</v>
      </c>
      <c r="D946" s="5">
        <v>42963.295138888891</v>
      </c>
      <c r="E946" s="4" t="s">
        <v>2221</v>
      </c>
      <c r="F946" s="4" t="s">
        <v>2222</v>
      </c>
      <c r="G946" s="4" t="s">
        <v>2234</v>
      </c>
      <c r="H946" s="4" t="s">
        <v>797</v>
      </c>
      <c r="I946" s="4" t="s">
        <v>1470</v>
      </c>
      <c r="J946" s="4" t="s">
        <v>1469</v>
      </c>
      <c r="K946" s="5">
        <v>32177</v>
      </c>
      <c r="L946" s="4" t="s">
        <v>3691</v>
      </c>
      <c r="M946" s="4" t="s">
        <v>9</v>
      </c>
      <c r="N946" s="5">
        <v>41351</v>
      </c>
      <c r="O946" s="5" t="s">
        <v>2224</v>
      </c>
      <c r="P946" s="4" t="s">
        <v>2224</v>
      </c>
      <c r="Q946" s="4" t="s">
        <v>3692</v>
      </c>
      <c r="R946" s="4" t="s">
        <v>2226</v>
      </c>
      <c r="S946" s="4" t="s">
        <v>2227</v>
      </c>
      <c r="T946" s="4" t="s">
        <v>2228</v>
      </c>
      <c r="U946" s="4" t="s">
        <v>2248</v>
      </c>
      <c r="V946" s="4" t="s">
        <v>262</v>
      </c>
      <c r="W946" s="4" t="s">
        <v>2249</v>
      </c>
      <c r="X946" s="4" t="s">
        <v>2224</v>
      </c>
      <c r="Y946" s="4" t="s">
        <v>2971</v>
      </c>
      <c r="Z946" s="6">
        <v>26067.888900000002</v>
      </c>
      <c r="AA946" s="6">
        <v>312814.67</v>
      </c>
      <c r="AB946" s="4" t="s">
        <v>2232</v>
      </c>
      <c r="AC946" s="7" t="s">
        <v>2224</v>
      </c>
    </row>
    <row r="947" spans="1:29" ht="15" customHeight="1" collapsed="1" thickBot="1" x14ac:dyDescent="0.3">
      <c r="A947" s="20" t="str">
        <f>CONCATENATE("581"," - ","MRS", " ","Serini"," ", "Rabikoosen")</f>
        <v>581 - MRS Serini Rabikoosen</v>
      </c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2"/>
    </row>
    <row r="948" spans="1:29" ht="15" hidden="1" customHeight="1" outlineLevel="1" thickBot="1" x14ac:dyDescent="0.3">
      <c r="A948" s="4" t="s">
        <v>3693</v>
      </c>
      <c r="B948" s="4" t="s">
        <v>394</v>
      </c>
      <c r="C948" s="4" t="s">
        <v>2220</v>
      </c>
      <c r="D948" s="5">
        <v>42962.549999999996</v>
      </c>
      <c r="E948" s="4" t="s">
        <v>2221</v>
      </c>
      <c r="F948" s="4" t="s">
        <v>2222</v>
      </c>
      <c r="G948" s="4" t="s">
        <v>2280</v>
      </c>
      <c r="H948" s="4" t="s">
        <v>800</v>
      </c>
      <c r="I948" s="4" t="s">
        <v>1516</v>
      </c>
      <c r="J948" s="4" t="s">
        <v>1515</v>
      </c>
      <c r="K948" s="5">
        <v>32719</v>
      </c>
      <c r="L948" s="4" t="s">
        <v>3694</v>
      </c>
      <c r="M948" s="4" t="s">
        <v>9</v>
      </c>
      <c r="N948" s="5">
        <v>41470</v>
      </c>
      <c r="O948" s="5" t="s">
        <v>2224</v>
      </c>
      <c r="P948" s="4" t="s">
        <v>2224</v>
      </c>
      <c r="Q948" s="4" t="s">
        <v>3695</v>
      </c>
      <c r="R948" s="4" t="s">
        <v>2226</v>
      </c>
      <c r="S948" s="4" t="s">
        <v>2227</v>
      </c>
      <c r="T948" s="4" t="s">
        <v>2228</v>
      </c>
      <c r="U948" s="4" t="s">
        <v>2237</v>
      </c>
      <c r="V948" s="4" t="s">
        <v>125</v>
      </c>
      <c r="W948" s="4" t="s">
        <v>2230</v>
      </c>
      <c r="X948" s="4" t="s">
        <v>2224</v>
      </c>
      <c r="Y948" s="4" t="s">
        <v>2239</v>
      </c>
      <c r="Z948" s="6">
        <v>20904.990000000002</v>
      </c>
      <c r="AA948" s="6">
        <v>250859.88</v>
      </c>
      <c r="AB948" s="4" t="s">
        <v>2232</v>
      </c>
      <c r="AC948" s="7" t="s">
        <v>2224</v>
      </c>
    </row>
    <row r="949" spans="1:29" ht="15" customHeight="1" collapsed="1" thickBot="1" x14ac:dyDescent="0.3">
      <c r="A949" s="20" t="str">
        <f>CONCATENATE("582"," - ","MISS", " ","Buyisile"," ", "Radebe")</f>
        <v>582 - MISS Buyisile Radebe</v>
      </c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2"/>
    </row>
    <row r="950" spans="1:29" ht="15" hidden="1" customHeight="1" outlineLevel="1" thickBot="1" x14ac:dyDescent="0.3">
      <c r="A950" s="4" t="s">
        <v>3696</v>
      </c>
      <c r="B950" s="4" t="s">
        <v>104</v>
      </c>
      <c r="C950" s="4" t="s">
        <v>2220</v>
      </c>
      <c r="D950" s="5">
        <v>42962.461805555555</v>
      </c>
      <c r="E950" s="4" t="s">
        <v>2221</v>
      </c>
      <c r="F950" s="4" t="s">
        <v>2222</v>
      </c>
      <c r="G950" s="4" t="s">
        <v>2234</v>
      </c>
      <c r="H950" s="4" t="s">
        <v>791</v>
      </c>
      <c r="I950" s="4" t="s">
        <v>972</v>
      </c>
      <c r="J950" s="4" t="s">
        <v>971</v>
      </c>
      <c r="K950" s="5">
        <v>27166</v>
      </c>
      <c r="L950" s="4" t="s">
        <v>3697</v>
      </c>
      <c r="M950" s="4" t="s">
        <v>9</v>
      </c>
      <c r="N950" s="5">
        <v>39022</v>
      </c>
      <c r="O950" s="5" t="s">
        <v>2224</v>
      </c>
      <c r="P950" s="4" t="s">
        <v>2224</v>
      </c>
      <c r="Q950" s="4" t="s">
        <v>3698</v>
      </c>
      <c r="R950" s="4" t="s">
        <v>2226</v>
      </c>
      <c r="S950" s="4" t="s">
        <v>2227</v>
      </c>
      <c r="T950" s="4" t="s">
        <v>2228</v>
      </c>
      <c r="U950" s="4" t="s">
        <v>2229</v>
      </c>
      <c r="V950" s="4" t="s">
        <v>17</v>
      </c>
      <c r="W950" s="4" t="s">
        <v>2230</v>
      </c>
      <c r="X950" s="4" t="s">
        <v>2224</v>
      </c>
      <c r="Y950" s="4" t="s">
        <v>2419</v>
      </c>
      <c r="Z950" s="6">
        <v>21430.874299999999</v>
      </c>
      <c r="AA950" s="6">
        <v>257170.49</v>
      </c>
      <c r="AB950" s="4" t="s">
        <v>2232</v>
      </c>
      <c r="AC950" s="7" t="s">
        <v>2224</v>
      </c>
    </row>
    <row r="951" spans="1:29" ht="15" customHeight="1" collapsed="1" thickBot="1" x14ac:dyDescent="0.3">
      <c r="A951" s="20" t="str">
        <f>CONCATENATE("583"," - ","MS", " ","Lungile"," ", "Radebe")</f>
        <v>583 - MS Lungile Radebe</v>
      </c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2"/>
    </row>
    <row r="952" spans="1:29" ht="15" hidden="1" customHeight="1" outlineLevel="1" thickBot="1" x14ac:dyDescent="0.3">
      <c r="A952" s="4" t="s">
        <v>3699</v>
      </c>
      <c r="B952" s="4" t="s">
        <v>731</v>
      </c>
      <c r="C952" s="4" t="s">
        <v>2220</v>
      </c>
      <c r="D952" s="5">
        <v>42962.461805555555</v>
      </c>
      <c r="E952" s="4" t="s">
        <v>2221</v>
      </c>
      <c r="F952" s="4" t="s">
        <v>2222</v>
      </c>
      <c r="G952" s="4" t="s">
        <v>813</v>
      </c>
      <c r="H952" s="4" t="s">
        <v>826</v>
      </c>
      <c r="I952" s="4" t="s">
        <v>2118</v>
      </c>
      <c r="J952" s="4" t="s">
        <v>971</v>
      </c>
      <c r="K952" s="5">
        <v>34122</v>
      </c>
      <c r="L952" s="4" t="s">
        <v>3700</v>
      </c>
      <c r="M952" s="4" t="s">
        <v>9</v>
      </c>
      <c r="N952" s="5">
        <v>42675</v>
      </c>
      <c r="O952" s="5" t="s">
        <v>2224</v>
      </c>
      <c r="P952" s="4" t="s">
        <v>2224</v>
      </c>
      <c r="Q952" s="4" t="s">
        <v>3701</v>
      </c>
      <c r="R952" s="4" t="s">
        <v>2226</v>
      </c>
      <c r="S952" s="4" t="s">
        <v>2227</v>
      </c>
      <c r="T952" s="4" t="s">
        <v>2228</v>
      </c>
      <c r="U952" s="4" t="s">
        <v>2229</v>
      </c>
      <c r="V952" s="4" t="s">
        <v>25</v>
      </c>
      <c r="W952" s="4" t="s">
        <v>2278</v>
      </c>
      <c r="X952" s="4" t="s">
        <v>2224</v>
      </c>
      <c r="Y952" s="4" t="s">
        <v>2449</v>
      </c>
      <c r="Z952" s="6">
        <v>10577.93</v>
      </c>
      <c r="AA952" s="6">
        <v>126935.16</v>
      </c>
      <c r="AB952" s="4" t="s">
        <v>2224</v>
      </c>
      <c r="AC952" s="7" t="s">
        <v>2244</v>
      </c>
    </row>
    <row r="953" spans="1:29" ht="15" customHeight="1" collapsed="1" thickBot="1" x14ac:dyDescent="0.3">
      <c r="A953" s="20" t="str">
        <f>CONCATENATE("584"," - ","MS", " ","Zanele"," ", "Radebe")</f>
        <v>584 - MS Zanele Radebe</v>
      </c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2"/>
    </row>
    <row r="954" spans="1:29" ht="15" hidden="1" customHeight="1" outlineLevel="1" thickBot="1" x14ac:dyDescent="0.3">
      <c r="A954" s="4" t="s">
        <v>3702</v>
      </c>
      <c r="B954" s="4" t="s">
        <v>509</v>
      </c>
      <c r="C954" s="4" t="s">
        <v>2220</v>
      </c>
      <c r="D954" s="5">
        <v>42962.549999999996</v>
      </c>
      <c r="E954" s="4" t="s">
        <v>2221</v>
      </c>
      <c r="F954" s="4" t="s">
        <v>2222</v>
      </c>
      <c r="G954" s="4" t="s">
        <v>813</v>
      </c>
      <c r="H954" s="4" t="s">
        <v>1752</v>
      </c>
      <c r="I954" s="4" t="s">
        <v>1611</v>
      </c>
      <c r="J954" s="4" t="s">
        <v>971</v>
      </c>
      <c r="K954" s="5">
        <v>32289</v>
      </c>
      <c r="L954" s="4" t="s">
        <v>3703</v>
      </c>
      <c r="M954" s="4" t="s">
        <v>9</v>
      </c>
      <c r="N954" s="5">
        <v>41975</v>
      </c>
      <c r="O954" s="5" t="s">
        <v>2224</v>
      </c>
      <c r="P954" s="4" t="s">
        <v>2224</v>
      </c>
      <c r="Q954" s="4" t="s">
        <v>3704</v>
      </c>
      <c r="R954" s="4" t="s">
        <v>2226</v>
      </c>
      <c r="S954" s="4" t="s">
        <v>2227</v>
      </c>
      <c r="T954" s="4" t="s">
        <v>2228</v>
      </c>
      <c r="U954" s="4" t="s">
        <v>2237</v>
      </c>
      <c r="V954" s="4" t="s">
        <v>8</v>
      </c>
      <c r="W954" s="4" t="s">
        <v>2278</v>
      </c>
      <c r="X954" s="4" t="s">
        <v>2224</v>
      </c>
      <c r="Y954" s="4" t="s">
        <v>2239</v>
      </c>
      <c r="Z954" s="6">
        <v>16486.259999999998</v>
      </c>
      <c r="AA954" s="6">
        <v>197835.12</v>
      </c>
      <c r="AB954" s="4" t="s">
        <v>2232</v>
      </c>
      <c r="AC954" s="7" t="s">
        <v>2224</v>
      </c>
    </row>
    <row r="955" spans="1:29" ht="15" customHeight="1" collapsed="1" thickBot="1" x14ac:dyDescent="0.3">
      <c r="A955" s="20" t="str">
        <f>CONCATENATE("585"," - ","MR", " ","Jitendra"," ", "Ragbeer")</f>
        <v>585 - MR Jitendra Ragbeer</v>
      </c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2"/>
    </row>
    <row r="956" spans="1:29" ht="15" hidden="1" customHeight="1" outlineLevel="1" thickBot="1" x14ac:dyDescent="0.3">
      <c r="A956" s="4" t="s">
        <v>3705</v>
      </c>
      <c r="B956" s="4" t="s">
        <v>365</v>
      </c>
      <c r="C956" s="4" t="s">
        <v>2220</v>
      </c>
      <c r="D956" s="5">
        <v>42962.461111111108</v>
      </c>
      <c r="E956" s="4" t="s">
        <v>2221</v>
      </c>
      <c r="F956" s="4" t="s">
        <v>2222</v>
      </c>
      <c r="G956" s="4" t="s">
        <v>2014</v>
      </c>
      <c r="H956" s="4" t="s">
        <v>888</v>
      </c>
      <c r="I956" s="4" t="s">
        <v>1465</v>
      </c>
      <c r="J956" s="4" t="s">
        <v>1464</v>
      </c>
      <c r="K956" s="5">
        <v>32571</v>
      </c>
      <c r="L956" s="4" t="s">
        <v>3706</v>
      </c>
      <c r="M956" s="4" t="s">
        <v>9</v>
      </c>
      <c r="N956" s="5">
        <v>41334</v>
      </c>
      <c r="O956" s="5" t="s">
        <v>2224</v>
      </c>
      <c r="P956" s="4" t="s">
        <v>2224</v>
      </c>
      <c r="Q956" s="4" t="s">
        <v>3707</v>
      </c>
      <c r="R956" s="4" t="s">
        <v>2226</v>
      </c>
      <c r="S956" s="4" t="s">
        <v>2227</v>
      </c>
      <c r="T956" s="4" t="s">
        <v>2228</v>
      </c>
      <c r="U956" s="4" t="s">
        <v>2229</v>
      </c>
      <c r="V956" s="4" t="s">
        <v>17</v>
      </c>
      <c r="W956" s="4" t="s">
        <v>2230</v>
      </c>
      <c r="X956" s="4" t="s">
        <v>2224</v>
      </c>
      <c r="Y956" s="4" t="s">
        <v>2631</v>
      </c>
      <c r="Z956" s="6">
        <v>20646.896499999999</v>
      </c>
      <c r="AA956" s="6">
        <v>247762.76</v>
      </c>
      <c r="AB956" s="4" t="s">
        <v>2232</v>
      </c>
      <c r="AC956" s="7" t="s">
        <v>2224</v>
      </c>
    </row>
    <row r="957" spans="1:29" ht="15" customHeight="1" collapsed="1" thickBot="1" x14ac:dyDescent="0.3">
      <c r="A957" s="20" t="str">
        <f>CONCATENATE("586"," - ","MRS", " ","Cassandra"," ", "Ragnunan Bechoo")</f>
        <v>586 - MRS Cassandra Ragnunan Bechoo</v>
      </c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2"/>
    </row>
    <row r="958" spans="1:29" ht="15" hidden="1" customHeight="1" outlineLevel="1" thickBot="1" x14ac:dyDescent="0.3">
      <c r="A958" s="4" t="s">
        <v>3708</v>
      </c>
      <c r="B958" s="4" t="s">
        <v>426</v>
      </c>
      <c r="C958" s="4" t="s">
        <v>2220</v>
      </c>
      <c r="D958" s="5">
        <v>42962.549999999996</v>
      </c>
      <c r="E958" s="4" t="s">
        <v>2221</v>
      </c>
      <c r="F958" s="4" t="s">
        <v>2222</v>
      </c>
      <c r="G958" s="4" t="s">
        <v>2280</v>
      </c>
      <c r="H958" s="4" t="s">
        <v>743</v>
      </c>
      <c r="I958" s="4" t="s">
        <v>1581</v>
      </c>
      <c r="J958" s="4" t="s">
        <v>1580</v>
      </c>
      <c r="K958" s="5">
        <v>32522</v>
      </c>
      <c r="L958" s="4" t="s">
        <v>3709</v>
      </c>
      <c r="M958" s="4" t="s">
        <v>9</v>
      </c>
      <c r="N958" s="5">
        <v>41556</v>
      </c>
      <c r="O958" s="5" t="s">
        <v>2224</v>
      </c>
      <c r="P958" s="4" t="s">
        <v>2224</v>
      </c>
      <c r="Q958" s="4" t="s">
        <v>3710</v>
      </c>
      <c r="R958" s="4" t="s">
        <v>2226</v>
      </c>
      <c r="S958" s="4" t="s">
        <v>2227</v>
      </c>
      <c r="T958" s="4" t="s">
        <v>2228</v>
      </c>
      <c r="U958" s="4" t="s">
        <v>2237</v>
      </c>
      <c r="V958" s="4" t="s">
        <v>125</v>
      </c>
      <c r="W958" s="4" t="s">
        <v>2278</v>
      </c>
      <c r="X958" s="4" t="s">
        <v>2224</v>
      </c>
      <c r="Y958" s="4" t="s">
        <v>2239</v>
      </c>
      <c r="Z958" s="6">
        <v>16486.259999999998</v>
      </c>
      <c r="AA958" s="6">
        <v>197835.12</v>
      </c>
      <c r="AB958" s="4" t="s">
        <v>2232</v>
      </c>
      <c r="AC958" s="7" t="s">
        <v>2224</v>
      </c>
    </row>
    <row r="959" spans="1:29" ht="15" customHeight="1" collapsed="1" thickBot="1" x14ac:dyDescent="0.3">
      <c r="A959" s="20" t="str">
        <f>CONCATENATE("587"," - ","MR", " ","Kamohelo"," ", "Ramalefane")</f>
        <v>587 - MR Kamohelo Ramalefane</v>
      </c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2"/>
    </row>
    <row r="960" spans="1:29" ht="15" hidden="1" customHeight="1" outlineLevel="1" thickBot="1" x14ac:dyDescent="0.3">
      <c r="A960" s="4" t="s">
        <v>3711</v>
      </c>
      <c r="B960" s="4" t="s">
        <v>605</v>
      </c>
      <c r="C960" s="4" t="s">
        <v>2220</v>
      </c>
      <c r="D960" s="5">
        <v>42962.461111111108</v>
      </c>
      <c r="E960" s="4" t="s">
        <v>2221</v>
      </c>
      <c r="F960" s="4" t="s">
        <v>2222</v>
      </c>
      <c r="G960" s="4" t="s">
        <v>2014</v>
      </c>
      <c r="H960" s="4" t="s">
        <v>1120</v>
      </c>
      <c r="I960" s="4" t="s">
        <v>1654</v>
      </c>
      <c r="J960" s="4" t="s">
        <v>1915</v>
      </c>
      <c r="K960" s="5">
        <v>31069</v>
      </c>
      <c r="L960" s="4" t="s">
        <v>3712</v>
      </c>
      <c r="M960" s="4" t="s">
        <v>9</v>
      </c>
      <c r="N960" s="5">
        <v>42219</v>
      </c>
      <c r="O960" s="5" t="s">
        <v>2224</v>
      </c>
      <c r="P960" s="4" t="s">
        <v>2224</v>
      </c>
      <c r="Q960" s="4" t="s">
        <v>3713</v>
      </c>
      <c r="R960" s="4" t="s">
        <v>2226</v>
      </c>
      <c r="S960" s="4" t="s">
        <v>2227</v>
      </c>
      <c r="T960" s="4" t="s">
        <v>2228</v>
      </c>
      <c r="U960" s="4" t="s">
        <v>2229</v>
      </c>
      <c r="V960" s="4" t="s">
        <v>25</v>
      </c>
      <c r="W960" s="4" t="s">
        <v>2278</v>
      </c>
      <c r="X960" s="4" t="s">
        <v>2224</v>
      </c>
      <c r="Y960" s="4" t="s">
        <v>2423</v>
      </c>
      <c r="Z960" s="6">
        <v>5288.9601000000002</v>
      </c>
      <c r="AA960" s="6">
        <v>63467.519999999997</v>
      </c>
      <c r="AB960" s="4" t="s">
        <v>2232</v>
      </c>
      <c r="AC960" s="7" t="s">
        <v>2224</v>
      </c>
    </row>
    <row r="961" spans="1:29" ht="15" customHeight="1" collapsed="1" thickBot="1" x14ac:dyDescent="0.3">
      <c r="A961" s="20" t="str">
        <f>CONCATENATE("588"," - ","MISS", " ","Tisetso"," ", "Ramaube")</f>
        <v>588 - MISS Tisetso Ramaube</v>
      </c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2"/>
    </row>
    <row r="962" spans="1:29" ht="15" hidden="1" customHeight="1" outlineLevel="1" thickBot="1" x14ac:dyDescent="0.3">
      <c r="A962" s="4" t="s">
        <v>3714</v>
      </c>
      <c r="B962" s="4" t="s">
        <v>393</v>
      </c>
      <c r="C962" s="4" t="s">
        <v>2220</v>
      </c>
      <c r="D962" s="5">
        <v>42962.549999999996</v>
      </c>
      <c r="E962" s="4" t="s">
        <v>2221</v>
      </c>
      <c r="F962" s="4" t="s">
        <v>2222</v>
      </c>
      <c r="G962" s="4" t="s">
        <v>2234</v>
      </c>
      <c r="H962" s="4" t="s">
        <v>819</v>
      </c>
      <c r="I962" s="4" t="s">
        <v>1514</v>
      </c>
      <c r="J962" s="4" t="s">
        <v>1513</v>
      </c>
      <c r="K962" s="5">
        <v>34472</v>
      </c>
      <c r="L962" s="4" t="s">
        <v>3715</v>
      </c>
      <c r="M962" s="4" t="s">
        <v>9</v>
      </c>
      <c r="N962" s="5">
        <v>41478</v>
      </c>
      <c r="O962" s="5" t="s">
        <v>2224</v>
      </c>
      <c r="P962" s="4" t="s">
        <v>2224</v>
      </c>
      <c r="Q962" s="4" t="s">
        <v>3716</v>
      </c>
      <c r="R962" s="4" t="s">
        <v>2226</v>
      </c>
      <c r="S962" s="4" t="s">
        <v>2227</v>
      </c>
      <c r="T962" s="4" t="s">
        <v>2228</v>
      </c>
      <c r="U962" s="4" t="s">
        <v>2237</v>
      </c>
      <c r="V962" s="4" t="s">
        <v>8</v>
      </c>
      <c r="W962" s="4" t="s">
        <v>2278</v>
      </c>
      <c r="X962" s="4" t="s">
        <v>2224</v>
      </c>
      <c r="Y962" s="4" t="s">
        <v>2239</v>
      </c>
      <c r="Z962" s="6">
        <v>16692.34</v>
      </c>
      <c r="AA962" s="6">
        <v>200308.08</v>
      </c>
      <c r="AB962" s="4" t="s">
        <v>2232</v>
      </c>
      <c r="AC962" s="7" t="s">
        <v>2224</v>
      </c>
    </row>
    <row r="963" spans="1:29" ht="15" customHeight="1" collapsed="1" thickBot="1" x14ac:dyDescent="0.3">
      <c r="A963" s="20" t="str">
        <f>CONCATENATE("589"," - ","MR", " ","Shaan"," ", "Ramcharan")</f>
        <v>589 - MR Shaan Ramcharan</v>
      </c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2"/>
    </row>
    <row r="964" spans="1:29" ht="15" hidden="1" customHeight="1" outlineLevel="1" thickBot="1" x14ac:dyDescent="0.3">
      <c r="A964" s="4" t="s">
        <v>3717</v>
      </c>
      <c r="B964" s="4" t="s">
        <v>469</v>
      </c>
      <c r="C964" s="4" t="s">
        <v>2220</v>
      </c>
      <c r="D964" s="5">
        <v>42962.461805555555</v>
      </c>
      <c r="E964" s="4" t="s">
        <v>2221</v>
      </c>
      <c r="F964" s="4" t="s">
        <v>2222</v>
      </c>
      <c r="G964" s="4" t="s">
        <v>2014</v>
      </c>
      <c r="H964" s="4" t="s">
        <v>800</v>
      </c>
      <c r="I964" s="4" t="s">
        <v>1671</v>
      </c>
      <c r="J964" s="4" t="s">
        <v>1670</v>
      </c>
      <c r="K964" s="5">
        <v>29606</v>
      </c>
      <c r="L964" s="4" t="s">
        <v>3718</v>
      </c>
      <c r="M964" s="4" t="s">
        <v>9</v>
      </c>
      <c r="N964" s="5">
        <v>41791</v>
      </c>
      <c r="O964" s="5" t="s">
        <v>2224</v>
      </c>
      <c r="P964" s="4" t="s">
        <v>2224</v>
      </c>
      <c r="Q964" s="4" t="s">
        <v>3719</v>
      </c>
      <c r="R964" s="4" t="s">
        <v>2226</v>
      </c>
      <c r="S964" s="4" t="s">
        <v>2227</v>
      </c>
      <c r="T964" s="4" t="s">
        <v>2228</v>
      </c>
      <c r="U964" s="4" t="s">
        <v>2229</v>
      </c>
      <c r="V964" s="4" t="s">
        <v>25</v>
      </c>
      <c r="W964" s="4" t="s">
        <v>2278</v>
      </c>
      <c r="X964" s="4" t="s">
        <v>2224</v>
      </c>
      <c r="Y964" s="4" t="s">
        <v>2568</v>
      </c>
      <c r="Z964" s="6">
        <v>10844.028399999999</v>
      </c>
      <c r="AA964" s="6">
        <v>130128.34</v>
      </c>
      <c r="AB964" s="4" t="s">
        <v>2232</v>
      </c>
      <c r="AC964" s="7" t="s">
        <v>2224</v>
      </c>
    </row>
    <row r="965" spans="1:29" ht="15" customHeight="1" collapsed="1" thickBot="1" x14ac:dyDescent="0.3">
      <c r="A965" s="20" t="str">
        <f>CONCATENATE("590"," - ","MR", " ","Satish"," ", "Ramlall")</f>
        <v>590 - MR Satish Ramlall</v>
      </c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2"/>
    </row>
    <row r="966" spans="1:29" ht="15" hidden="1" customHeight="1" outlineLevel="1" thickBot="1" x14ac:dyDescent="0.3">
      <c r="A966" s="4" t="s">
        <v>3720</v>
      </c>
      <c r="B966" s="4" t="s">
        <v>50</v>
      </c>
      <c r="C966" s="4" t="s">
        <v>2220</v>
      </c>
      <c r="D966" s="5">
        <v>42962.463194444441</v>
      </c>
      <c r="E966" s="4" t="s">
        <v>2221</v>
      </c>
      <c r="F966" s="4" t="s">
        <v>2222</v>
      </c>
      <c r="G966" s="4" t="s">
        <v>2014</v>
      </c>
      <c r="H966" s="4" t="s">
        <v>800</v>
      </c>
      <c r="I966" s="4" t="s">
        <v>862</v>
      </c>
      <c r="J966" s="4" t="s">
        <v>861</v>
      </c>
      <c r="K966" s="5">
        <v>29997</v>
      </c>
      <c r="L966" s="4" t="s">
        <v>3721</v>
      </c>
      <c r="M966" s="4" t="s">
        <v>9</v>
      </c>
      <c r="N966" s="5">
        <v>38991</v>
      </c>
      <c r="O966" s="5" t="s">
        <v>2224</v>
      </c>
      <c r="P966" s="4" t="s">
        <v>2224</v>
      </c>
      <c r="Q966" s="4" t="s">
        <v>3722</v>
      </c>
      <c r="R966" s="4" t="s">
        <v>2226</v>
      </c>
      <c r="S966" s="4" t="s">
        <v>2227</v>
      </c>
      <c r="T966" s="4" t="s">
        <v>2228</v>
      </c>
      <c r="U966" s="4" t="s">
        <v>2248</v>
      </c>
      <c r="V966" s="4" t="s">
        <v>51</v>
      </c>
      <c r="W966" s="4" t="s">
        <v>2249</v>
      </c>
      <c r="X966" s="4" t="s">
        <v>2224</v>
      </c>
      <c r="Y966" s="4" t="s">
        <v>2290</v>
      </c>
      <c r="Z966" s="6">
        <v>30881.140800000001</v>
      </c>
      <c r="AA966" s="6">
        <v>370573.69</v>
      </c>
      <c r="AB966" s="4" t="s">
        <v>2232</v>
      </c>
      <c r="AC966" s="7" t="s">
        <v>2224</v>
      </c>
    </row>
    <row r="967" spans="1:29" ht="15" customHeight="1" collapsed="1" thickBot="1" x14ac:dyDescent="0.3">
      <c r="A967" s="20" t="str">
        <f>CONCATENATE("591"," - ","MS", " ","Boitumelo"," ", "Ramoshaba")</f>
        <v>591 - MS Boitumelo Ramoshaba</v>
      </c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2"/>
    </row>
    <row r="968" spans="1:29" ht="15" hidden="1" customHeight="1" outlineLevel="1" thickBot="1" x14ac:dyDescent="0.3">
      <c r="A968" s="4" t="s">
        <v>3723</v>
      </c>
      <c r="B968" s="4" t="s">
        <v>768</v>
      </c>
      <c r="C968" s="4" t="s">
        <v>2220</v>
      </c>
      <c r="D968" s="5">
        <v>42962.549999999996</v>
      </c>
      <c r="E968" s="4" t="s">
        <v>2221</v>
      </c>
      <c r="F968" s="4" t="s">
        <v>2222</v>
      </c>
      <c r="G968" s="4" t="s">
        <v>813</v>
      </c>
      <c r="H968" s="4" t="s">
        <v>2183</v>
      </c>
      <c r="I968" s="4" t="s">
        <v>1222</v>
      </c>
      <c r="J968" s="4" t="s">
        <v>2182</v>
      </c>
      <c r="K968" s="5">
        <v>32863</v>
      </c>
      <c r="L968" s="4" t="s">
        <v>3724</v>
      </c>
      <c r="M968" s="4" t="s">
        <v>9</v>
      </c>
      <c r="N968" s="5">
        <v>42887</v>
      </c>
      <c r="O968" s="5" t="s">
        <v>2224</v>
      </c>
      <c r="P968" s="4" t="s">
        <v>2224</v>
      </c>
      <c r="Q968" s="4" t="s">
        <v>3725</v>
      </c>
      <c r="R968" s="4" t="s">
        <v>2226</v>
      </c>
      <c r="S968" s="4" t="s">
        <v>2227</v>
      </c>
      <c r="T968" s="4" t="s">
        <v>2228</v>
      </c>
      <c r="U968" s="4" t="s">
        <v>2237</v>
      </c>
      <c r="V968" s="4" t="s">
        <v>8</v>
      </c>
      <c r="W968" s="4" t="s">
        <v>2238</v>
      </c>
      <c r="X968" s="4" t="s">
        <v>2224</v>
      </c>
      <c r="Y968" s="4" t="s">
        <v>2239</v>
      </c>
      <c r="Z968" s="6">
        <v>15883.16</v>
      </c>
      <c r="AA968" s="6">
        <v>190597.92</v>
      </c>
      <c r="AB968" s="4" t="s">
        <v>2224</v>
      </c>
      <c r="AC968" s="7" t="s">
        <v>2244</v>
      </c>
    </row>
    <row r="969" spans="1:29" ht="15" customHeight="1" collapsed="1" thickBot="1" x14ac:dyDescent="0.3">
      <c r="A969" s="20" t="str">
        <f>CONCATENATE("592"," - ","MISS", " ","Vyaksha"," ", "Ramroop")</f>
        <v>592 - MISS Vyaksha Ramroop</v>
      </c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2"/>
    </row>
    <row r="970" spans="1:29" ht="15" hidden="1" customHeight="1" outlineLevel="1" thickBot="1" x14ac:dyDescent="0.3">
      <c r="A970" s="4" t="s">
        <v>3726</v>
      </c>
      <c r="B970" s="4" t="s">
        <v>384</v>
      </c>
      <c r="C970" s="4" t="s">
        <v>2220</v>
      </c>
      <c r="D970" s="5">
        <v>42962.549999999996</v>
      </c>
      <c r="E970" s="4" t="s">
        <v>2221</v>
      </c>
      <c r="F970" s="4" t="s">
        <v>2222</v>
      </c>
      <c r="G970" s="4" t="s">
        <v>2234</v>
      </c>
      <c r="H970" s="4" t="s">
        <v>907</v>
      </c>
      <c r="I970" s="4" t="s">
        <v>1498</v>
      </c>
      <c r="J970" s="4" t="s">
        <v>1497</v>
      </c>
      <c r="K970" s="5">
        <v>34215</v>
      </c>
      <c r="L970" s="4" t="s">
        <v>3727</v>
      </c>
      <c r="M970" s="4" t="s">
        <v>9</v>
      </c>
      <c r="N970" s="5">
        <v>41465</v>
      </c>
      <c r="O970" s="5" t="s">
        <v>2224</v>
      </c>
      <c r="P970" s="4" t="s">
        <v>2224</v>
      </c>
      <c r="Q970" s="4" t="s">
        <v>3728</v>
      </c>
      <c r="R970" s="4" t="s">
        <v>2226</v>
      </c>
      <c r="S970" s="4" t="s">
        <v>2227</v>
      </c>
      <c r="T970" s="4" t="s">
        <v>2228</v>
      </c>
      <c r="U970" s="4" t="s">
        <v>2237</v>
      </c>
      <c r="V970" s="4" t="s">
        <v>125</v>
      </c>
      <c r="W970" s="4" t="s">
        <v>2278</v>
      </c>
      <c r="X970" s="4" t="s">
        <v>2224</v>
      </c>
      <c r="Y970" s="4" t="s">
        <v>2239</v>
      </c>
      <c r="Z970" s="6">
        <v>20140.25</v>
      </c>
      <c r="AA970" s="6">
        <v>241683</v>
      </c>
      <c r="AB970" s="4" t="s">
        <v>2232</v>
      </c>
      <c r="AC970" s="7" t="s">
        <v>2224</v>
      </c>
    </row>
    <row r="971" spans="1:29" ht="15" customHeight="1" collapsed="1" thickBot="1" x14ac:dyDescent="0.3">
      <c r="A971" s="20" t="str">
        <f>CONCATENATE("593"," - ","MS", " ","Chantal"," ", "Ramsamy")</f>
        <v>593 - MS Chantal Ramsamy</v>
      </c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2"/>
    </row>
    <row r="972" spans="1:29" ht="15" hidden="1" customHeight="1" outlineLevel="1" thickBot="1" x14ac:dyDescent="0.3">
      <c r="A972" s="4" t="s">
        <v>3729</v>
      </c>
      <c r="B972" s="4" t="s">
        <v>669</v>
      </c>
      <c r="C972" s="4" t="s">
        <v>2220</v>
      </c>
      <c r="D972" s="5">
        <v>42962.461805555555</v>
      </c>
      <c r="E972" s="4" t="s">
        <v>2221</v>
      </c>
      <c r="F972" s="4" t="s">
        <v>2222</v>
      </c>
      <c r="G972" s="4" t="s">
        <v>813</v>
      </c>
      <c r="H972" s="4" t="s">
        <v>743</v>
      </c>
      <c r="I972" s="4" t="s">
        <v>1246</v>
      </c>
      <c r="J972" s="4" t="s">
        <v>2009</v>
      </c>
      <c r="K972" s="5">
        <v>33001</v>
      </c>
      <c r="L972" s="4" t="s">
        <v>3730</v>
      </c>
      <c r="M972" s="4" t="s">
        <v>9</v>
      </c>
      <c r="N972" s="5">
        <v>42461</v>
      </c>
      <c r="O972" s="5" t="s">
        <v>2224</v>
      </c>
      <c r="P972" s="4" t="s">
        <v>2224</v>
      </c>
      <c r="Q972" s="4" t="s">
        <v>2224</v>
      </c>
      <c r="R972" s="4" t="s">
        <v>2226</v>
      </c>
      <c r="S972" s="4" t="s">
        <v>2227</v>
      </c>
      <c r="T972" s="4" t="s">
        <v>2228</v>
      </c>
      <c r="U972" s="4" t="s">
        <v>2229</v>
      </c>
      <c r="V972" s="4" t="s">
        <v>25</v>
      </c>
      <c r="W972" s="4" t="s">
        <v>2278</v>
      </c>
      <c r="X972" s="4" t="s">
        <v>2224</v>
      </c>
      <c r="Y972" s="4" t="s">
        <v>2384</v>
      </c>
      <c r="Z972" s="6">
        <v>10710.15</v>
      </c>
      <c r="AA972" s="6">
        <v>128521.8</v>
      </c>
      <c r="AB972" s="4" t="s">
        <v>2232</v>
      </c>
      <c r="AC972" s="7" t="s">
        <v>2224</v>
      </c>
    </row>
    <row r="973" spans="1:29" ht="15" customHeight="1" collapsed="1" thickBot="1" x14ac:dyDescent="0.3">
      <c r="A973" s="20" t="str">
        <f>CONCATENATE("594"," - ","MR", " ","Yeshil"," ", "Ramsunder")</f>
        <v>594 - MR Yeshil Ramsunder</v>
      </c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2"/>
    </row>
    <row r="974" spans="1:29" ht="15" hidden="1" customHeight="1" outlineLevel="1" thickBot="1" x14ac:dyDescent="0.3">
      <c r="A974" s="4" t="s">
        <v>3731</v>
      </c>
      <c r="B974" s="4" t="s">
        <v>700</v>
      </c>
      <c r="C974" s="4" t="s">
        <v>2220</v>
      </c>
      <c r="D974" s="5">
        <v>42962.549999999996</v>
      </c>
      <c r="E974" s="4" t="s">
        <v>2221</v>
      </c>
      <c r="F974" s="4" t="s">
        <v>2222</v>
      </c>
      <c r="G974" s="4" t="s">
        <v>2014</v>
      </c>
      <c r="H974" s="4" t="s">
        <v>794</v>
      </c>
      <c r="I974" s="4" t="s">
        <v>2065</v>
      </c>
      <c r="J974" s="4" t="s">
        <v>2064</v>
      </c>
      <c r="K974" s="5">
        <v>35310</v>
      </c>
      <c r="L974" s="4" t="s">
        <v>3732</v>
      </c>
      <c r="M974" s="4" t="s">
        <v>9</v>
      </c>
      <c r="N974" s="5">
        <v>42527</v>
      </c>
      <c r="O974" s="5" t="s">
        <v>2224</v>
      </c>
      <c r="P974" s="4" t="s">
        <v>2224</v>
      </c>
      <c r="Q974" s="4" t="s">
        <v>3733</v>
      </c>
      <c r="R974" s="4" t="s">
        <v>2226</v>
      </c>
      <c r="S974" s="4" t="s">
        <v>2227</v>
      </c>
      <c r="T974" s="4" t="s">
        <v>2228</v>
      </c>
      <c r="U974" s="4" t="s">
        <v>2237</v>
      </c>
      <c r="V974" s="4" t="s">
        <v>125</v>
      </c>
      <c r="W974" s="4" t="s">
        <v>2278</v>
      </c>
      <c r="X974" s="4" t="s">
        <v>2224</v>
      </c>
      <c r="Y974" s="4" t="s">
        <v>2239</v>
      </c>
      <c r="Z974" s="6">
        <v>16081.7</v>
      </c>
      <c r="AA974" s="6">
        <v>192980.4</v>
      </c>
      <c r="AB974" s="4" t="s">
        <v>2232</v>
      </c>
      <c r="AC974" s="7" t="s">
        <v>2224</v>
      </c>
    </row>
    <row r="975" spans="1:29" ht="15" customHeight="1" collapsed="1" thickBot="1" x14ac:dyDescent="0.3">
      <c r="A975" s="20" t="str">
        <f>CONCATENATE("596"," - ","MISS", " ","Laeticia"," ", "Reddy")</f>
        <v>596 - MISS Laeticia Reddy</v>
      </c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2"/>
    </row>
    <row r="976" spans="1:29" ht="15" hidden="1" customHeight="1" outlineLevel="1" thickBot="1" x14ac:dyDescent="0.3">
      <c r="A976" s="4" t="s">
        <v>3734</v>
      </c>
      <c r="B976" s="4" t="s">
        <v>519</v>
      </c>
      <c r="C976" s="4" t="s">
        <v>2220</v>
      </c>
      <c r="D976" s="5">
        <v>42962.461805555555</v>
      </c>
      <c r="E976" s="4" t="s">
        <v>2221</v>
      </c>
      <c r="F976" s="4" t="s">
        <v>2222</v>
      </c>
      <c r="G976" s="4" t="s">
        <v>2234</v>
      </c>
      <c r="H976" s="4" t="s">
        <v>1728</v>
      </c>
      <c r="I976" s="4" t="s">
        <v>1769</v>
      </c>
      <c r="J976" s="4" t="s">
        <v>1768</v>
      </c>
      <c r="K976" s="5">
        <v>32877</v>
      </c>
      <c r="L976" s="4" t="s">
        <v>3735</v>
      </c>
      <c r="M976" s="4" t="s">
        <v>9</v>
      </c>
      <c r="N976" s="5">
        <v>42072</v>
      </c>
      <c r="O976" s="5" t="s">
        <v>2224</v>
      </c>
      <c r="P976" s="4" t="s">
        <v>2224</v>
      </c>
      <c r="Q976" s="4" t="s">
        <v>3736</v>
      </c>
      <c r="R976" s="4" t="s">
        <v>2226</v>
      </c>
      <c r="S976" s="4" t="s">
        <v>2227</v>
      </c>
      <c r="T976" s="4" t="s">
        <v>2228</v>
      </c>
      <c r="U976" s="4" t="s">
        <v>2229</v>
      </c>
      <c r="V976" s="4" t="s">
        <v>25</v>
      </c>
      <c r="W976" s="4" t="s">
        <v>2278</v>
      </c>
      <c r="X976" s="4" t="s">
        <v>2224</v>
      </c>
      <c r="Y976" s="4" t="s">
        <v>2394</v>
      </c>
      <c r="Z976" s="6">
        <v>10710.1538</v>
      </c>
      <c r="AA976" s="6">
        <v>128521.85</v>
      </c>
      <c r="AB976" s="4" t="s">
        <v>2232</v>
      </c>
      <c r="AC976" s="7" t="s">
        <v>2224</v>
      </c>
    </row>
    <row r="977" spans="1:29" ht="15" customHeight="1" collapsed="1" thickBot="1" x14ac:dyDescent="0.3">
      <c r="A977" s="20" t="str">
        <f>CONCATENATE("598"," - ","MR", " ","HENDRICK"," ", "Richman")</f>
        <v>598 - MR HENDRICK Richman</v>
      </c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2"/>
    </row>
    <row r="978" spans="1:29" ht="15" hidden="1" customHeight="1" outlineLevel="1" thickBot="1" x14ac:dyDescent="0.3">
      <c r="A978" s="4" t="s">
        <v>3737</v>
      </c>
      <c r="B978" s="4" t="s">
        <v>189</v>
      </c>
      <c r="C978" s="4" t="s">
        <v>2220</v>
      </c>
      <c r="D978" s="5">
        <v>42962.461111111108</v>
      </c>
      <c r="E978" s="4" t="s">
        <v>2221</v>
      </c>
      <c r="F978" s="4" t="s">
        <v>2222</v>
      </c>
      <c r="G978" s="4" t="s">
        <v>2014</v>
      </c>
      <c r="H978" s="4" t="s">
        <v>832</v>
      </c>
      <c r="I978" s="4" t="s">
        <v>1133</v>
      </c>
      <c r="J978" s="4" t="s">
        <v>1132</v>
      </c>
      <c r="K978" s="5">
        <v>25749</v>
      </c>
      <c r="L978" s="4" t="s">
        <v>3738</v>
      </c>
      <c r="M978" s="4" t="s">
        <v>9</v>
      </c>
      <c r="N978" s="5">
        <v>39508</v>
      </c>
      <c r="O978" s="5" t="s">
        <v>2224</v>
      </c>
      <c r="P978" s="4" t="s">
        <v>2224</v>
      </c>
      <c r="Q978" s="4" t="s">
        <v>2967</v>
      </c>
      <c r="R978" s="4" t="s">
        <v>2226</v>
      </c>
      <c r="S978" s="4" t="s">
        <v>2227</v>
      </c>
      <c r="T978" s="4" t="s">
        <v>2228</v>
      </c>
      <c r="U978" s="4" t="s">
        <v>2229</v>
      </c>
      <c r="V978" s="4" t="s">
        <v>25</v>
      </c>
      <c r="W978" s="4" t="s">
        <v>2278</v>
      </c>
      <c r="X978" s="4" t="s">
        <v>2224</v>
      </c>
      <c r="Y978" s="4" t="s">
        <v>2423</v>
      </c>
      <c r="Z978" s="6">
        <v>5698.2393000000002</v>
      </c>
      <c r="AA978" s="6">
        <v>68378.87</v>
      </c>
      <c r="AB978" s="4" t="s">
        <v>2232</v>
      </c>
      <c r="AC978" s="7" t="s">
        <v>2224</v>
      </c>
    </row>
    <row r="979" spans="1:29" ht="15" customHeight="1" collapsed="1" thickBot="1" x14ac:dyDescent="0.3">
      <c r="A979" s="20" t="str">
        <f>CONCATENATE("599"," - ","MISS", " ","Lee"," ", "Roberts")</f>
        <v>599 - MISS Lee Roberts</v>
      </c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2"/>
    </row>
    <row r="980" spans="1:29" ht="15" hidden="1" customHeight="1" outlineLevel="1" thickBot="1" x14ac:dyDescent="0.3">
      <c r="A980" s="4" t="s">
        <v>3739</v>
      </c>
      <c r="B980" s="4" t="s">
        <v>379</v>
      </c>
      <c r="C980" s="4" t="s">
        <v>2220</v>
      </c>
      <c r="D980" s="5">
        <v>42962.549999999996</v>
      </c>
      <c r="E980" s="4" t="s">
        <v>2221</v>
      </c>
      <c r="F980" s="4" t="s">
        <v>2222</v>
      </c>
      <c r="G980" s="4" t="s">
        <v>2234</v>
      </c>
      <c r="H980" s="4" t="s">
        <v>826</v>
      </c>
      <c r="I980" s="4" t="s">
        <v>1440</v>
      </c>
      <c r="J980" s="4" t="s">
        <v>1489</v>
      </c>
      <c r="K980" s="5">
        <v>29864</v>
      </c>
      <c r="L980" s="4" t="s">
        <v>3740</v>
      </c>
      <c r="M980" s="4" t="s">
        <v>9</v>
      </c>
      <c r="N980" s="5">
        <v>41456</v>
      </c>
      <c r="O980" s="5" t="s">
        <v>2224</v>
      </c>
      <c r="P980" s="4" t="s">
        <v>2224</v>
      </c>
      <c r="Q980" s="4" t="s">
        <v>3741</v>
      </c>
      <c r="R980" s="4" t="s">
        <v>2226</v>
      </c>
      <c r="S980" s="4" t="s">
        <v>2227</v>
      </c>
      <c r="T980" s="4" t="s">
        <v>2228</v>
      </c>
      <c r="U980" s="4" t="s">
        <v>2237</v>
      </c>
      <c r="V980" s="4" t="s">
        <v>125</v>
      </c>
      <c r="W980" s="4" t="s">
        <v>2230</v>
      </c>
      <c r="X980" s="4" t="s">
        <v>2224</v>
      </c>
      <c r="Y980" s="4" t="s">
        <v>2239</v>
      </c>
      <c r="Z980" s="6">
        <v>20646.896499999999</v>
      </c>
      <c r="AA980" s="6">
        <v>247762.76</v>
      </c>
      <c r="AB980" s="4" t="s">
        <v>2232</v>
      </c>
      <c r="AC980" s="7" t="s">
        <v>2224</v>
      </c>
    </row>
    <row r="981" spans="1:29" ht="15" customHeight="1" collapsed="1" thickBot="1" x14ac:dyDescent="0.3">
      <c r="A981" s="20" t="str">
        <f>CONCATENATE("600"," - ","MISS", " ","Lynn"," ", "Roets")</f>
        <v>600 - MISS Lynn Roets</v>
      </c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2"/>
    </row>
    <row r="982" spans="1:29" ht="15" hidden="1" customHeight="1" outlineLevel="1" thickBot="1" x14ac:dyDescent="0.3">
      <c r="A982" s="4" t="s">
        <v>3742</v>
      </c>
      <c r="B982" s="4" t="s">
        <v>141</v>
      </c>
      <c r="C982" s="4" t="s">
        <v>2220</v>
      </c>
      <c r="D982" s="5">
        <v>42962.462500000001</v>
      </c>
      <c r="E982" s="4" t="s">
        <v>2221</v>
      </c>
      <c r="F982" s="4" t="s">
        <v>2222</v>
      </c>
      <c r="G982" s="4" t="s">
        <v>2234</v>
      </c>
      <c r="H982" s="4" t="s">
        <v>826</v>
      </c>
      <c r="I982" s="4" t="s">
        <v>821</v>
      </c>
      <c r="J982" s="4" t="s">
        <v>1039</v>
      </c>
      <c r="K982" s="5">
        <v>21037</v>
      </c>
      <c r="L982" s="4" t="s">
        <v>3743</v>
      </c>
      <c r="M982" s="4" t="s">
        <v>9</v>
      </c>
      <c r="N982" s="5">
        <v>39295</v>
      </c>
      <c r="O982" s="5" t="s">
        <v>2224</v>
      </c>
      <c r="P982" s="4" t="s">
        <v>2224</v>
      </c>
      <c r="Q982" s="4" t="s">
        <v>3167</v>
      </c>
      <c r="R982" s="4" t="s">
        <v>2226</v>
      </c>
      <c r="S982" s="4" t="s">
        <v>2227</v>
      </c>
      <c r="T982" s="4" t="s">
        <v>2228</v>
      </c>
      <c r="U982" s="4" t="s">
        <v>2229</v>
      </c>
      <c r="V982" s="4" t="s">
        <v>68</v>
      </c>
      <c r="W982" s="4" t="s">
        <v>2249</v>
      </c>
      <c r="X982" s="4" t="s">
        <v>2224</v>
      </c>
      <c r="Y982" s="4" t="s">
        <v>2549</v>
      </c>
      <c r="Z982" s="6">
        <v>31953.4</v>
      </c>
      <c r="AA982" s="6">
        <v>383440.8</v>
      </c>
      <c r="AB982" s="4" t="s">
        <v>2232</v>
      </c>
      <c r="AC982" s="7" t="s">
        <v>2224</v>
      </c>
    </row>
    <row r="983" spans="1:29" ht="15" customHeight="1" collapsed="1" thickBot="1" x14ac:dyDescent="0.3">
      <c r="A983" s="20" t="str">
        <f>CONCATENATE("601"," - ","MR", " ","Matthew"," ", "Rogers")</f>
        <v>601 - MR Matthew Rogers</v>
      </c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2"/>
    </row>
    <row r="984" spans="1:29" ht="15" hidden="1" customHeight="1" outlineLevel="1" thickBot="1" x14ac:dyDescent="0.3">
      <c r="A984" s="4" t="s">
        <v>3744</v>
      </c>
      <c r="B984" s="4" t="s">
        <v>471</v>
      </c>
      <c r="C984" s="4" t="s">
        <v>2220</v>
      </c>
      <c r="D984" s="5">
        <v>42963.288194444445</v>
      </c>
      <c r="E984" s="4" t="s">
        <v>2221</v>
      </c>
      <c r="F984" s="4" t="s">
        <v>2222</v>
      </c>
      <c r="G984" s="4" t="s">
        <v>2014</v>
      </c>
      <c r="H984" s="4" t="s">
        <v>788</v>
      </c>
      <c r="I984" s="4" t="s">
        <v>1674</v>
      </c>
      <c r="J984" s="4" t="s">
        <v>1673</v>
      </c>
      <c r="K984" s="5">
        <v>32753</v>
      </c>
      <c r="L984" s="4" t="s">
        <v>3745</v>
      </c>
      <c r="M984" s="4" t="s">
        <v>9</v>
      </c>
      <c r="N984" s="5">
        <v>41792</v>
      </c>
      <c r="O984" s="5" t="s">
        <v>2224</v>
      </c>
      <c r="P984" s="4" t="s">
        <v>2224</v>
      </c>
      <c r="Q984" s="4" t="s">
        <v>3746</v>
      </c>
      <c r="R984" s="4" t="s">
        <v>2226</v>
      </c>
      <c r="S984" s="4" t="s">
        <v>2227</v>
      </c>
      <c r="T984" s="4" t="s">
        <v>2228</v>
      </c>
      <c r="U984" s="4" t="s">
        <v>2258</v>
      </c>
      <c r="V984" s="4" t="s">
        <v>13</v>
      </c>
      <c r="W984" s="4" t="s">
        <v>2249</v>
      </c>
      <c r="X984" s="4" t="s">
        <v>2224</v>
      </c>
      <c r="Y984" s="4" t="s">
        <v>2259</v>
      </c>
      <c r="Z984" s="6">
        <v>107642.21</v>
      </c>
      <c r="AA984" s="6">
        <v>1291706.52</v>
      </c>
      <c r="AB984" s="4" t="s">
        <v>2232</v>
      </c>
      <c r="AC984" s="7" t="s">
        <v>2224</v>
      </c>
    </row>
    <row r="985" spans="1:29" ht="15" customHeight="1" collapsed="1" thickBot="1" x14ac:dyDescent="0.3">
      <c r="A985" s="20" t="str">
        <f>CONCATENATE("602"," - ","MISS", " ","Tracey"," ", "Rose")</f>
        <v>602 - MISS Tracey Rose</v>
      </c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2"/>
    </row>
    <row r="986" spans="1:29" ht="15" hidden="1" customHeight="1" outlineLevel="1" thickBot="1" x14ac:dyDescent="0.3">
      <c r="A986" s="4" t="s">
        <v>3747</v>
      </c>
      <c r="B986" s="4" t="s">
        <v>430</v>
      </c>
      <c r="C986" s="4" t="s">
        <v>2220</v>
      </c>
      <c r="D986" s="5">
        <v>42962.549999999996</v>
      </c>
      <c r="E986" s="4" t="s">
        <v>2221</v>
      </c>
      <c r="F986" s="4" t="s">
        <v>2222</v>
      </c>
      <c r="G986" s="4" t="s">
        <v>2234</v>
      </c>
      <c r="H986" s="4" t="s">
        <v>1588</v>
      </c>
      <c r="I986" s="4" t="s">
        <v>1589</v>
      </c>
      <c r="J986" s="4" t="s">
        <v>1587</v>
      </c>
      <c r="K986" s="5">
        <v>33824</v>
      </c>
      <c r="L986" s="4" t="s">
        <v>3748</v>
      </c>
      <c r="M986" s="4" t="s">
        <v>9</v>
      </c>
      <c r="N986" s="5">
        <v>41568</v>
      </c>
      <c r="O986" s="5" t="s">
        <v>2224</v>
      </c>
      <c r="P986" s="4" t="s">
        <v>2224</v>
      </c>
      <c r="Q986" s="4" t="s">
        <v>3749</v>
      </c>
      <c r="R986" s="4" t="s">
        <v>2226</v>
      </c>
      <c r="S986" s="4" t="s">
        <v>2227</v>
      </c>
      <c r="T986" s="4" t="s">
        <v>2228</v>
      </c>
      <c r="U986" s="4" t="s">
        <v>2237</v>
      </c>
      <c r="V986" s="4" t="s">
        <v>8</v>
      </c>
      <c r="W986" s="4" t="s">
        <v>2278</v>
      </c>
      <c r="X986" s="4" t="s">
        <v>2224</v>
      </c>
      <c r="Y986" s="4" t="s">
        <v>2239</v>
      </c>
      <c r="Z986" s="6">
        <v>16486.259999999998</v>
      </c>
      <c r="AA986" s="6">
        <v>197835.12</v>
      </c>
      <c r="AB986" s="4" t="s">
        <v>2232</v>
      </c>
      <c r="AC986" s="7" t="s">
        <v>2224</v>
      </c>
    </row>
    <row r="987" spans="1:29" ht="15" customHeight="1" collapsed="1" thickBot="1" x14ac:dyDescent="0.3">
      <c r="A987" s="20" t="str">
        <f>CONCATENATE("603"," - ","MR", " ","Robert"," ", "Roux")</f>
        <v>603 - MR Robert Roux</v>
      </c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2"/>
    </row>
    <row r="988" spans="1:29" ht="15" hidden="1" customHeight="1" outlineLevel="1" thickBot="1" x14ac:dyDescent="0.3">
      <c r="A988" s="4" t="s">
        <v>3750</v>
      </c>
      <c r="B988" s="4" t="s">
        <v>661</v>
      </c>
      <c r="C988" s="4" t="s">
        <v>2220</v>
      </c>
      <c r="D988" s="5">
        <v>42963.290277777778</v>
      </c>
      <c r="E988" s="4" t="s">
        <v>2221</v>
      </c>
      <c r="F988" s="4" t="s">
        <v>2222</v>
      </c>
      <c r="G988" s="4" t="s">
        <v>2014</v>
      </c>
      <c r="H988" s="4" t="s">
        <v>844</v>
      </c>
      <c r="I988" s="4" t="s">
        <v>870</v>
      </c>
      <c r="J988" s="4" t="s">
        <v>1998</v>
      </c>
      <c r="K988" s="5">
        <v>30453</v>
      </c>
      <c r="L988" s="4" t="s">
        <v>3751</v>
      </c>
      <c r="M988" s="4" t="s">
        <v>9</v>
      </c>
      <c r="N988" s="5">
        <v>42415</v>
      </c>
      <c r="O988" s="5" t="s">
        <v>2224</v>
      </c>
      <c r="P988" s="4" t="s">
        <v>2224</v>
      </c>
      <c r="Q988" s="4" t="s">
        <v>3027</v>
      </c>
      <c r="R988" s="4" t="s">
        <v>2226</v>
      </c>
      <c r="S988" s="4" t="s">
        <v>2227</v>
      </c>
      <c r="T988" s="4" t="s">
        <v>2228</v>
      </c>
      <c r="U988" s="4" t="s">
        <v>2258</v>
      </c>
      <c r="V988" s="4" t="s">
        <v>246</v>
      </c>
      <c r="W988" s="4" t="s">
        <v>2249</v>
      </c>
      <c r="X988" s="4" t="s">
        <v>2224</v>
      </c>
      <c r="Y988" s="4" t="s">
        <v>2259</v>
      </c>
      <c r="Z988" s="6">
        <v>68050.454400000002</v>
      </c>
      <c r="AA988" s="6">
        <v>816605.45</v>
      </c>
      <c r="AB988" s="4" t="s">
        <v>2232</v>
      </c>
      <c r="AC988" s="7" t="s">
        <v>2224</v>
      </c>
    </row>
    <row r="989" spans="1:29" ht="15" customHeight="1" collapsed="1" thickBot="1" x14ac:dyDescent="0.3">
      <c r="A989" s="20" t="str">
        <f>CONCATENATE("604"," - ","MR", " ","Athol"," ", "Rucastle")</f>
        <v>604 - MR Athol Rucastle</v>
      </c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2"/>
    </row>
    <row r="990" spans="1:29" ht="15" hidden="1" customHeight="1" outlineLevel="1" thickBot="1" x14ac:dyDescent="0.3">
      <c r="A990" s="4" t="s">
        <v>3752</v>
      </c>
      <c r="B990" s="4" t="s">
        <v>186</v>
      </c>
      <c r="C990" s="4" t="s">
        <v>2220</v>
      </c>
      <c r="D990" s="5">
        <v>42963.279166666667</v>
      </c>
      <c r="E990" s="4" t="s">
        <v>2221</v>
      </c>
      <c r="F990" s="4" t="s">
        <v>2222</v>
      </c>
      <c r="G990" s="4" t="s">
        <v>2014</v>
      </c>
      <c r="H990" s="4" t="s">
        <v>1128</v>
      </c>
      <c r="I990" s="4" t="s">
        <v>1129</v>
      </c>
      <c r="J990" s="4" t="s">
        <v>1127</v>
      </c>
      <c r="K990" s="5">
        <v>21454</v>
      </c>
      <c r="L990" s="4" t="s">
        <v>3753</v>
      </c>
      <c r="M990" s="4" t="s">
        <v>9</v>
      </c>
      <c r="N990" s="5">
        <v>39517</v>
      </c>
      <c r="O990" s="5" t="s">
        <v>2224</v>
      </c>
      <c r="P990" s="4" t="s">
        <v>2224</v>
      </c>
      <c r="Q990" s="4" t="s">
        <v>3754</v>
      </c>
      <c r="R990" s="4" t="s">
        <v>2226</v>
      </c>
      <c r="S990" s="4" t="s">
        <v>2227</v>
      </c>
      <c r="T990" s="4" t="s">
        <v>2228</v>
      </c>
      <c r="U990" s="4" t="s">
        <v>2248</v>
      </c>
      <c r="V990" s="4" t="s">
        <v>187</v>
      </c>
      <c r="W990" s="4" t="s">
        <v>2249</v>
      </c>
      <c r="X990" s="4" t="s">
        <v>2224</v>
      </c>
      <c r="Y990" s="4" t="s">
        <v>2259</v>
      </c>
      <c r="Z990" s="6">
        <v>45102.603600000002</v>
      </c>
      <c r="AA990" s="6">
        <v>541231.24</v>
      </c>
      <c r="AB990" s="4" t="s">
        <v>2232</v>
      </c>
      <c r="AC990" s="7" t="s">
        <v>2224</v>
      </c>
    </row>
    <row r="991" spans="1:29" ht="15" customHeight="1" collapsed="1" thickBot="1" x14ac:dyDescent="0.3">
      <c r="A991" s="20" t="str">
        <f>CONCATENATE("605"," - ","MISS", " ","Keshia"," ", "Ruiters")</f>
        <v>605 - MISS Keshia Ruiters</v>
      </c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2"/>
    </row>
    <row r="992" spans="1:29" ht="15" hidden="1" customHeight="1" outlineLevel="1" thickBot="1" x14ac:dyDescent="0.3">
      <c r="A992" s="4" t="s">
        <v>3755</v>
      </c>
      <c r="B992" s="4" t="s">
        <v>417</v>
      </c>
      <c r="C992" s="4" t="s">
        <v>2220</v>
      </c>
      <c r="D992" s="5">
        <v>42962.549999999996</v>
      </c>
      <c r="E992" s="4" t="s">
        <v>2221</v>
      </c>
      <c r="F992" s="4" t="s">
        <v>2222</v>
      </c>
      <c r="G992" s="4" t="s">
        <v>2234</v>
      </c>
      <c r="H992" s="4" t="s">
        <v>1120</v>
      </c>
      <c r="I992" s="4" t="s">
        <v>1561</v>
      </c>
      <c r="J992" s="4" t="s">
        <v>1560</v>
      </c>
      <c r="K992" s="5">
        <v>34470</v>
      </c>
      <c r="L992" s="4" t="s">
        <v>3756</v>
      </c>
      <c r="M992" s="4" t="s">
        <v>9</v>
      </c>
      <c r="N992" s="5">
        <v>41556</v>
      </c>
      <c r="O992" s="5" t="s">
        <v>2224</v>
      </c>
      <c r="P992" s="4" t="s">
        <v>2224</v>
      </c>
      <c r="Q992" s="4" t="s">
        <v>3622</v>
      </c>
      <c r="R992" s="4" t="s">
        <v>2226</v>
      </c>
      <c r="S992" s="4" t="s">
        <v>2227</v>
      </c>
      <c r="T992" s="4" t="s">
        <v>2228</v>
      </c>
      <c r="U992" s="4" t="s">
        <v>2237</v>
      </c>
      <c r="V992" s="4" t="s">
        <v>125</v>
      </c>
      <c r="W992" s="4" t="s">
        <v>2230</v>
      </c>
      <c r="X992" s="4" t="s">
        <v>2224</v>
      </c>
      <c r="Y992" s="4" t="s">
        <v>2239</v>
      </c>
      <c r="Z992" s="6">
        <v>20140.25</v>
      </c>
      <c r="AA992" s="6">
        <v>241683</v>
      </c>
      <c r="AB992" s="4" t="s">
        <v>2232</v>
      </c>
      <c r="AC992" s="7" t="s">
        <v>2224</v>
      </c>
    </row>
    <row r="993" spans="1:29" ht="15" customHeight="1" collapsed="1" thickBot="1" x14ac:dyDescent="0.3">
      <c r="A993" s="20" t="str">
        <f>CONCATENATE("606"," - ","MR", " ","Noelan"," ", "Rungasamy")</f>
        <v>606 - MR Noelan Rungasamy</v>
      </c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2"/>
    </row>
    <row r="994" spans="1:29" ht="15" hidden="1" customHeight="1" outlineLevel="1" thickBot="1" x14ac:dyDescent="0.3">
      <c r="A994" s="4" t="s">
        <v>3757</v>
      </c>
      <c r="B994" s="4" t="s">
        <v>119</v>
      </c>
      <c r="C994" s="4" t="s">
        <v>2220</v>
      </c>
      <c r="D994" s="5">
        <v>42962.462500000001</v>
      </c>
      <c r="E994" s="4" t="s">
        <v>2221</v>
      </c>
      <c r="F994" s="4" t="s">
        <v>2222</v>
      </c>
      <c r="G994" s="4" t="s">
        <v>2014</v>
      </c>
      <c r="H994" s="4" t="s">
        <v>999</v>
      </c>
      <c r="I994" s="4" t="s">
        <v>1000</v>
      </c>
      <c r="J994" s="4" t="s">
        <v>998</v>
      </c>
      <c r="K994" s="5">
        <v>29590</v>
      </c>
      <c r="L994" s="4" t="s">
        <v>3758</v>
      </c>
      <c r="M994" s="4" t="s">
        <v>9</v>
      </c>
      <c r="N994" s="5">
        <v>39052</v>
      </c>
      <c r="O994" s="5" t="s">
        <v>2224</v>
      </c>
      <c r="P994" s="4" t="s">
        <v>2224</v>
      </c>
      <c r="Q994" s="4" t="s">
        <v>3759</v>
      </c>
      <c r="R994" s="4" t="s">
        <v>2226</v>
      </c>
      <c r="S994" s="4" t="s">
        <v>2227</v>
      </c>
      <c r="T994" s="4" t="s">
        <v>2228</v>
      </c>
      <c r="U994" s="4" t="s">
        <v>2248</v>
      </c>
      <c r="V994" s="4" t="s">
        <v>120</v>
      </c>
      <c r="W994" s="4" t="s">
        <v>2297</v>
      </c>
      <c r="X994" s="4" t="s">
        <v>2224</v>
      </c>
      <c r="Y994" s="4" t="s">
        <v>2298</v>
      </c>
      <c r="Z994" s="6">
        <v>72221.806800000006</v>
      </c>
      <c r="AA994" s="6">
        <v>866661.68</v>
      </c>
      <c r="AB994" s="4" t="s">
        <v>2232</v>
      </c>
      <c r="AC994" s="7" t="s">
        <v>2224</v>
      </c>
    </row>
    <row r="995" spans="1:29" ht="15" customHeight="1" collapsed="1" thickBot="1" x14ac:dyDescent="0.3">
      <c r="A995" s="20" t="str">
        <f>CONCATENATE("607"," - ","MR", " ","Alfred"," ", "Russill")</f>
        <v>607 - MR Alfred Russill</v>
      </c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2"/>
    </row>
    <row r="996" spans="1:29" ht="15" hidden="1" customHeight="1" outlineLevel="1" thickBot="1" x14ac:dyDescent="0.3">
      <c r="A996" s="4" t="s">
        <v>3760</v>
      </c>
      <c r="B996" s="4" t="s">
        <v>360</v>
      </c>
      <c r="C996" s="4" t="s">
        <v>2220</v>
      </c>
      <c r="D996" s="5">
        <v>42963.286111111112</v>
      </c>
      <c r="E996" s="4" t="s">
        <v>2221</v>
      </c>
      <c r="F996" s="4" t="s">
        <v>2222</v>
      </c>
      <c r="G996" s="4" t="s">
        <v>2014</v>
      </c>
      <c r="H996" s="4" t="s">
        <v>1012</v>
      </c>
      <c r="I996" s="4" t="s">
        <v>1456</v>
      </c>
      <c r="J996" s="4" t="s">
        <v>1455</v>
      </c>
      <c r="K996" s="5">
        <v>21786</v>
      </c>
      <c r="L996" s="4" t="s">
        <v>3761</v>
      </c>
      <c r="M996" s="4" t="s">
        <v>9</v>
      </c>
      <c r="N996" s="5">
        <v>41330</v>
      </c>
      <c r="O996" s="5" t="s">
        <v>2224</v>
      </c>
      <c r="P996" s="4" t="s">
        <v>2224</v>
      </c>
      <c r="Q996" s="4" t="s">
        <v>2448</v>
      </c>
      <c r="R996" s="4" t="s">
        <v>2226</v>
      </c>
      <c r="S996" s="4" t="s">
        <v>2227</v>
      </c>
      <c r="T996" s="4" t="s">
        <v>2228</v>
      </c>
      <c r="U996" s="4" t="s">
        <v>2258</v>
      </c>
      <c r="V996" s="4" t="s">
        <v>13</v>
      </c>
      <c r="W996" s="4" t="s">
        <v>2249</v>
      </c>
      <c r="X996" s="4" t="s">
        <v>2224</v>
      </c>
      <c r="Y996" s="4" t="s">
        <v>2259</v>
      </c>
      <c r="Z996" s="6">
        <v>107642.2068</v>
      </c>
      <c r="AA996" s="6">
        <v>1291706.48</v>
      </c>
      <c r="AB996" s="4" t="s">
        <v>2232</v>
      </c>
      <c r="AC996" s="7" t="s">
        <v>2224</v>
      </c>
    </row>
    <row r="997" spans="1:29" ht="15" customHeight="1" collapsed="1" thickBot="1" x14ac:dyDescent="0.3">
      <c r="A997" s="20" t="str">
        <f>CONCATENATE("609"," - ","MR", " ","Lourens"," ", "Sadler")</f>
        <v>609 - MR Lourens Sadler</v>
      </c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2"/>
    </row>
    <row r="998" spans="1:29" ht="15" hidden="1" customHeight="1" outlineLevel="1" thickBot="1" x14ac:dyDescent="0.3">
      <c r="A998" s="4" t="s">
        <v>3762</v>
      </c>
      <c r="B998" s="4" t="s">
        <v>289</v>
      </c>
      <c r="C998" s="4" t="s">
        <v>2220</v>
      </c>
      <c r="D998" s="5">
        <v>42963.28402777778</v>
      </c>
      <c r="E998" s="4" t="s">
        <v>2221</v>
      </c>
      <c r="F998" s="4" t="s">
        <v>2222</v>
      </c>
      <c r="G998" s="4" t="s">
        <v>2014</v>
      </c>
      <c r="H998" s="4" t="s">
        <v>826</v>
      </c>
      <c r="I998" s="4" t="s">
        <v>863</v>
      </c>
      <c r="J998" s="4" t="s">
        <v>1327</v>
      </c>
      <c r="K998" s="5">
        <v>28565</v>
      </c>
      <c r="L998" s="4" t="s">
        <v>3763</v>
      </c>
      <c r="M998" s="4" t="s">
        <v>9</v>
      </c>
      <c r="N998" s="5">
        <v>40861</v>
      </c>
      <c r="O998" s="5" t="s">
        <v>2224</v>
      </c>
      <c r="P998" s="4" t="s">
        <v>2224</v>
      </c>
      <c r="Q998" s="4" t="s">
        <v>3311</v>
      </c>
      <c r="R998" s="4" t="s">
        <v>2226</v>
      </c>
      <c r="S998" s="4" t="s">
        <v>2227</v>
      </c>
      <c r="T998" s="4" t="s">
        <v>2228</v>
      </c>
      <c r="U998" s="4" t="s">
        <v>2258</v>
      </c>
      <c r="V998" s="4" t="s">
        <v>13</v>
      </c>
      <c r="W998" s="4" t="s">
        <v>2249</v>
      </c>
      <c r="X998" s="4" t="s">
        <v>2224</v>
      </c>
      <c r="Y998" s="4" t="s">
        <v>2259</v>
      </c>
      <c r="Z998" s="6">
        <v>109795.05</v>
      </c>
      <c r="AA998" s="6">
        <v>1317540.6000000001</v>
      </c>
      <c r="AB998" s="4" t="s">
        <v>2232</v>
      </c>
      <c r="AC998" s="7" t="s">
        <v>2224</v>
      </c>
    </row>
    <row r="999" spans="1:29" ht="15" customHeight="1" collapsed="1" thickBot="1" x14ac:dyDescent="0.3">
      <c r="A999" s="20" t="str">
        <f>CONCATENATE("61"," - ","MR", " ","MAX"," ", "Bluhm")</f>
        <v>61 - MR MAX Bluhm</v>
      </c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2"/>
    </row>
    <row r="1000" spans="1:29" ht="15" hidden="1" customHeight="1" outlineLevel="1" thickBot="1" x14ac:dyDescent="0.3">
      <c r="A1000" s="4" t="s">
        <v>3764</v>
      </c>
      <c r="B1000" s="4" t="s">
        <v>196</v>
      </c>
      <c r="C1000" s="4" t="s">
        <v>2220</v>
      </c>
      <c r="D1000" s="5">
        <v>42962.529861111107</v>
      </c>
      <c r="E1000" s="4" t="s">
        <v>2221</v>
      </c>
      <c r="F1000" s="4" t="s">
        <v>2222</v>
      </c>
      <c r="G1000" s="4" t="s">
        <v>2014</v>
      </c>
      <c r="H1000" s="4" t="s">
        <v>788</v>
      </c>
      <c r="I1000" s="4" t="s">
        <v>1146</v>
      </c>
      <c r="J1000" s="4" t="s">
        <v>1145</v>
      </c>
      <c r="K1000" s="5">
        <v>30192</v>
      </c>
      <c r="L1000" s="4" t="s">
        <v>3765</v>
      </c>
      <c r="M1000" s="4" t="s">
        <v>9</v>
      </c>
      <c r="N1000" s="5">
        <v>39539</v>
      </c>
      <c r="O1000" s="5" t="s">
        <v>2224</v>
      </c>
      <c r="P1000" s="4" t="s">
        <v>2224</v>
      </c>
      <c r="Q1000" s="4" t="s">
        <v>3766</v>
      </c>
      <c r="R1000" s="4" t="s">
        <v>2226</v>
      </c>
      <c r="S1000" s="4" t="s">
        <v>2227</v>
      </c>
      <c r="T1000" s="4" t="s">
        <v>2228</v>
      </c>
      <c r="U1000" s="4" t="s">
        <v>2258</v>
      </c>
      <c r="V1000" s="4" t="s">
        <v>13</v>
      </c>
      <c r="W1000" s="4" t="s">
        <v>2249</v>
      </c>
      <c r="X1000" s="4" t="s">
        <v>2224</v>
      </c>
      <c r="Y1000" s="4" t="s">
        <v>2259</v>
      </c>
      <c r="Z1000" s="6">
        <v>118845.6948</v>
      </c>
      <c r="AA1000" s="6">
        <v>1426148.34</v>
      </c>
      <c r="AB1000" s="4" t="s">
        <v>2232</v>
      </c>
      <c r="AC1000" s="7" t="s">
        <v>2224</v>
      </c>
    </row>
    <row r="1001" spans="1:29" ht="15" customHeight="1" collapsed="1" thickBot="1" x14ac:dyDescent="0.3">
      <c r="A1001" s="20" t="str">
        <f>CONCATENATE("610"," - ","MISS", " ","Rushda"," ", "Sampson")</f>
        <v>610 - MISS Rushda Sampson</v>
      </c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2"/>
    </row>
    <row r="1002" spans="1:29" ht="15" hidden="1" customHeight="1" outlineLevel="1" thickBot="1" x14ac:dyDescent="0.3">
      <c r="A1002" s="4" t="s">
        <v>3767</v>
      </c>
      <c r="B1002" s="4" t="s">
        <v>101</v>
      </c>
      <c r="C1002" s="4" t="s">
        <v>2220</v>
      </c>
      <c r="D1002" s="5">
        <v>42962.461111111108</v>
      </c>
      <c r="E1002" s="4" t="s">
        <v>2221</v>
      </c>
      <c r="F1002" s="4" t="s">
        <v>2222</v>
      </c>
      <c r="G1002" s="4" t="s">
        <v>2234</v>
      </c>
      <c r="H1002" s="4" t="s">
        <v>844</v>
      </c>
      <c r="I1002" s="4" t="s">
        <v>845</v>
      </c>
      <c r="J1002" s="4" t="s">
        <v>963</v>
      </c>
      <c r="K1002" s="5">
        <v>30831</v>
      </c>
      <c r="L1002" s="4" t="s">
        <v>3768</v>
      </c>
      <c r="M1002" s="4" t="s">
        <v>9</v>
      </c>
      <c r="N1002" s="5">
        <v>39020</v>
      </c>
      <c r="O1002" s="5" t="s">
        <v>2224</v>
      </c>
      <c r="P1002" s="4" t="s">
        <v>2224</v>
      </c>
      <c r="Q1002" s="4" t="s">
        <v>3378</v>
      </c>
      <c r="R1002" s="4" t="s">
        <v>2226</v>
      </c>
      <c r="S1002" s="4" t="s">
        <v>2227</v>
      </c>
      <c r="T1002" s="4" t="s">
        <v>2228</v>
      </c>
      <c r="U1002" s="4" t="s">
        <v>2229</v>
      </c>
      <c r="V1002" s="4" t="s">
        <v>25</v>
      </c>
      <c r="W1002" s="4" t="s">
        <v>2278</v>
      </c>
      <c r="X1002" s="4" t="s">
        <v>2224</v>
      </c>
      <c r="Y1002" s="4" t="s">
        <v>2380</v>
      </c>
      <c r="Z1002" s="6">
        <v>17112.2621</v>
      </c>
      <c r="AA1002" s="6">
        <v>205347.15</v>
      </c>
      <c r="AB1002" s="4" t="s">
        <v>2232</v>
      </c>
      <c r="AC1002" s="7" t="s">
        <v>2224</v>
      </c>
    </row>
    <row r="1003" spans="1:29" ht="15" customHeight="1" collapsed="1" thickBot="1" x14ac:dyDescent="0.3">
      <c r="A1003" s="20" t="str">
        <f>CONCATENATE("611"," - ","MISS", " ","Jaylon"," ", "Samson")</f>
        <v>611 - MISS Jaylon Samson</v>
      </c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2"/>
    </row>
    <row r="1004" spans="1:29" ht="15" hidden="1" customHeight="1" outlineLevel="1" thickBot="1" x14ac:dyDescent="0.3">
      <c r="A1004" s="4" t="s">
        <v>3769</v>
      </c>
      <c r="B1004" s="4" t="s">
        <v>542</v>
      </c>
      <c r="C1004" s="4" t="s">
        <v>2220</v>
      </c>
      <c r="D1004" s="5">
        <v>42962.549999999996</v>
      </c>
      <c r="E1004" s="4" t="s">
        <v>2221</v>
      </c>
      <c r="F1004" s="4" t="s">
        <v>2222</v>
      </c>
      <c r="G1004" s="4" t="s">
        <v>2234</v>
      </c>
      <c r="H1004" s="4" t="s">
        <v>888</v>
      </c>
      <c r="I1004" s="4" t="s">
        <v>1810</v>
      </c>
      <c r="J1004" s="4" t="s">
        <v>1809</v>
      </c>
      <c r="K1004" s="5">
        <v>35294</v>
      </c>
      <c r="L1004" s="4" t="s">
        <v>3770</v>
      </c>
      <c r="M1004" s="4" t="s">
        <v>9</v>
      </c>
      <c r="N1004" s="5">
        <v>42072</v>
      </c>
      <c r="O1004" s="5" t="s">
        <v>2224</v>
      </c>
      <c r="P1004" s="4" t="s">
        <v>2224</v>
      </c>
      <c r="Q1004" s="4" t="s">
        <v>3713</v>
      </c>
      <c r="R1004" s="4" t="s">
        <v>2226</v>
      </c>
      <c r="S1004" s="4" t="s">
        <v>2227</v>
      </c>
      <c r="T1004" s="4" t="s">
        <v>2228</v>
      </c>
      <c r="U1004" s="4" t="s">
        <v>2237</v>
      </c>
      <c r="V1004" s="4" t="s">
        <v>8</v>
      </c>
      <c r="W1004" s="4" t="s">
        <v>2278</v>
      </c>
      <c r="X1004" s="4" t="s">
        <v>2224</v>
      </c>
      <c r="Y1004" s="4" t="s">
        <v>2239</v>
      </c>
      <c r="Z1004" s="6">
        <v>16081.7</v>
      </c>
      <c r="AA1004" s="6">
        <v>192980.4</v>
      </c>
      <c r="AB1004" s="4" t="s">
        <v>2232</v>
      </c>
      <c r="AC1004" s="7" t="s">
        <v>2224</v>
      </c>
    </row>
    <row r="1005" spans="1:29" ht="15" customHeight="1" collapsed="1" thickBot="1" x14ac:dyDescent="0.3">
      <c r="A1005" s="20" t="str">
        <f>CONCATENATE("612"," - ","MISS", " ","Nabeela"," ", "Sarkhot")</f>
        <v>612 - MISS Nabeela Sarkhot</v>
      </c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2"/>
    </row>
    <row r="1006" spans="1:29" ht="15" hidden="1" customHeight="1" outlineLevel="1" thickBot="1" x14ac:dyDescent="0.3">
      <c r="A1006" s="4" t="s">
        <v>3771</v>
      </c>
      <c r="B1006" s="4" t="s">
        <v>549</v>
      </c>
      <c r="C1006" s="4" t="s">
        <v>2220</v>
      </c>
      <c r="D1006" s="5">
        <v>42962.549999999996</v>
      </c>
      <c r="E1006" s="4" t="s">
        <v>2221</v>
      </c>
      <c r="F1006" s="4" t="s">
        <v>2222</v>
      </c>
      <c r="G1006" s="4" t="s">
        <v>2234</v>
      </c>
      <c r="H1006" s="4" t="s">
        <v>797</v>
      </c>
      <c r="I1006" s="4" t="s">
        <v>1822</v>
      </c>
      <c r="J1006" s="4" t="s">
        <v>1821</v>
      </c>
      <c r="K1006" s="5">
        <v>34253</v>
      </c>
      <c r="L1006" s="4" t="s">
        <v>3772</v>
      </c>
      <c r="M1006" s="4" t="s">
        <v>9</v>
      </c>
      <c r="N1006" s="5">
        <v>42072</v>
      </c>
      <c r="O1006" s="5" t="s">
        <v>2224</v>
      </c>
      <c r="P1006" s="4" t="s">
        <v>2224</v>
      </c>
      <c r="Q1006" s="4" t="s">
        <v>3773</v>
      </c>
      <c r="R1006" s="4" t="s">
        <v>2226</v>
      </c>
      <c r="S1006" s="4" t="s">
        <v>2227</v>
      </c>
      <c r="T1006" s="4" t="s">
        <v>2228</v>
      </c>
      <c r="U1006" s="4" t="s">
        <v>2237</v>
      </c>
      <c r="V1006" s="4" t="s">
        <v>8</v>
      </c>
      <c r="W1006" s="4" t="s">
        <v>2278</v>
      </c>
      <c r="X1006" s="4" t="s">
        <v>2224</v>
      </c>
      <c r="Y1006" s="4" t="s">
        <v>2239</v>
      </c>
      <c r="Z1006" s="6">
        <v>16081.7</v>
      </c>
      <c r="AA1006" s="6">
        <v>192980.4</v>
      </c>
      <c r="AB1006" s="4" t="s">
        <v>2232</v>
      </c>
      <c r="AC1006" s="7" t="s">
        <v>2224</v>
      </c>
    </row>
    <row r="1007" spans="1:29" ht="15" customHeight="1" collapsed="1" thickBot="1" x14ac:dyDescent="0.3">
      <c r="A1007" s="20" t="str">
        <f>CONCATENATE("613"," - ","MISS", " ","Rochelle"," ", "Sayer")</f>
        <v>613 - MISS Rochelle Sayer</v>
      </c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2"/>
    </row>
    <row r="1008" spans="1:29" ht="15" hidden="1" customHeight="1" outlineLevel="1" thickBot="1" x14ac:dyDescent="0.3">
      <c r="A1008" s="4" t="s">
        <v>3774</v>
      </c>
      <c r="B1008" s="4" t="s">
        <v>373</v>
      </c>
      <c r="C1008" s="4" t="s">
        <v>2220</v>
      </c>
      <c r="D1008" s="5">
        <v>42962.538888888885</v>
      </c>
      <c r="E1008" s="4" t="s">
        <v>2221</v>
      </c>
      <c r="F1008" s="4" t="s">
        <v>2222</v>
      </c>
      <c r="G1008" s="4" t="s">
        <v>2234</v>
      </c>
      <c r="H1008" s="4" t="s">
        <v>844</v>
      </c>
      <c r="I1008" s="4" t="s">
        <v>1478</v>
      </c>
      <c r="J1008" s="4" t="s">
        <v>1477</v>
      </c>
      <c r="K1008" s="5">
        <v>34220</v>
      </c>
      <c r="L1008" s="4" t="s">
        <v>3775</v>
      </c>
      <c r="M1008" s="4" t="s">
        <v>9</v>
      </c>
      <c r="N1008" s="5">
        <v>41373</v>
      </c>
      <c r="O1008" s="5" t="s">
        <v>2224</v>
      </c>
      <c r="P1008" s="4" t="s">
        <v>2224</v>
      </c>
      <c r="Q1008" s="4" t="s">
        <v>3776</v>
      </c>
      <c r="R1008" s="4" t="s">
        <v>2226</v>
      </c>
      <c r="S1008" s="4" t="s">
        <v>2227</v>
      </c>
      <c r="T1008" s="4" t="s">
        <v>2228</v>
      </c>
      <c r="U1008" s="4" t="s">
        <v>2237</v>
      </c>
      <c r="V1008" s="4" t="s">
        <v>8</v>
      </c>
      <c r="W1008" s="4" t="s">
        <v>2278</v>
      </c>
      <c r="X1008" s="4" t="s">
        <v>2224</v>
      </c>
      <c r="Y1008" s="4" t="s">
        <v>2239</v>
      </c>
      <c r="Z1008" s="6">
        <v>16692.34</v>
      </c>
      <c r="AA1008" s="6">
        <v>200308.08</v>
      </c>
      <c r="AB1008" s="4" t="s">
        <v>2232</v>
      </c>
      <c r="AC1008" s="7" t="s">
        <v>2224</v>
      </c>
    </row>
    <row r="1009" spans="1:29" ht="15" customHeight="1" collapsed="1" thickBot="1" x14ac:dyDescent="0.3">
      <c r="A1009" s="20" t="str">
        <f>CONCATENATE("614"," - ","MR", " ","Louis"," ", "Schoeman")</f>
        <v>614 - MR Louis Schoeman</v>
      </c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2"/>
    </row>
    <row r="1010" spans="1:29" ht="15" hidden="1" customHeight="1" outlineLevel="1" thickBot="1" x14ac:dyDescent="0.3">
      <c r="A1010" s="4" t="s">
        <v>3777</v>
      </c>
      <c r="B1010" s="4" t="s">
        <v>258</v>
      </c>
      <c r="C1010" s="4" t="s">
        <v>2220</v>
      </c>
      <c r="D1010" s="5">
        <v>42963.282638888886</v>
      </c>
      <c r="E1010" s="4" t="s">
        <v>2221</v>
      </c>
      <c r="F1010" s="4" t="s">
        <v>2222</v>
      </c>
      <c r="G1010" s="4" t="s">
        <v>2014</v>
      </c>
      <c r="H1010" s="4" t="s">
        <v>1271</v>
      </c>
      <c r="I1010" s="4" t="s">
        <v>1272</v>
      </c>
      <c r="J1010" s="4" t="s">
        <v>1270</v>
      </c>
      <c r="K1010" s="5">
        <v>23470</v>
      </c>
      <c r="L1010" s="4" t="s">
        <v>3778</v>
      </c>
      <c r="M1010" s="4" t="s">
        <v>9</v>
      </c>
      <c r="N1010" s="5">
        <v>40609</v>
      </c>
      <c r="O1010" s="5" t="s">
        <v>2224</v>
      </c>
      <c r="P1010" s="4" t="s">
        <v>2224</v>
      </c>
      <c r="Q1010" s="4" t="s">
        <v>2271</v>
      </c>
      <c r="R1010" s="4" t="s">
        <v>2226</v>
      </c>
      <c r="S1010" s="4" t="s">
        <v>2227</v>
      </c>
      <c r="T1010" s="4" t="s">
        <v>2228</v>
      </c>
      <c r="U1010" s="4" t="s">
        <v>2258</v>
      </c>
      <c r="V1010" s="4" t="s">
        <v>13</v>
      </c>
      <c r="W1010" s="4" t="s">
        <v>2249</v>
      </c>
      <c r="X1010" s="4" t="s">
        <v>2224</v>
      </c>
      <c r="Y1010" s="4" t="s">
        <v>2259</v>
      </c>
      <c r="Z1010" s="6">
        <v>114230.7684</v>
      </c>
      <c r="AA1010" s="6">
        <v>1370769.22</v>
      </c>
      <c r="AB1010" s="4" t="s">
        <v>2232</v>
      </c>
      <c r="AC1010" s="7" t="s">
        <v>2224</v>
      </c>
    </row>
    <row r="1011" spans="1:29" ht="15" customHeight="1" collapsed="1" thickBot="1" x14ac:dyDescent="0.3">
      <c r="A1011" s="20" t="str">
        <f>CONCATENATE("616"," - ","MS", " ","Mokutu"," ", "Seabela")</f>
        <v>616 - MS Mokutu Seabela</v>
      </c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2"/>
    </row>
    <row r="1012" spans="1:29" ht="15" hidden="1" customHeight="1" outlineLevel="1" thickBot="1" x14ac:dyDescent="0.3">
      <c r="A1012" s="4" t="s">
        <v>3779</v>
      </c>
      <c r="B1012" s="4" t="s">
        <v>671</v>
      </c>
      <c r="C1012" s="4" t="s">
        <v>2220</v>
      </c>
      <c r="D1012" s="5">
        <v>42962.461805555555</v>
      </c>
      <c r="E1012" s="4" t="s">
        <v>2221</v>
      </c>
      <c r="F1012" s="4" t="s">
        <v>2222</v>
      </c>
      <c r="G1012" s="4" t="s">
        <v>813</v>
      </c>
      <c r="H1012" s="4" t="s">
        <v>2014</v>
      </c>
      <c r="I1012" s="4" t="s">
        <v>2015</v>
      </c>
      <c r="J1012" s="4" t="s">
        <v>2013</v>
      </c>
      <c r="K1012" s="5">
        <v>34081</v>
      </c>
      <c r="L1012" s="4" t="s">
        <v>3780</v>
      </c>
      <c r="M1012" s="4" t="s">
        <v>9</v>
      </c>
      <c r="N1012" s="5">
        <v>42461</v>
      </c>
      <c r="O1012" s="5" t="s">
        <v>2224</v>
      </c>
      <c r="P1012" s="4" t="s">
        <v>2224</v>
      </c>
      <c r="Q1012" s="4" t="s">
        <v>3781</v>
      </c>
      <c r="R1012" s="4" t="s">
        <v>2226</v>
      </c>
      <c r="S1012" s="4" t="s">
        <v>2227</v>
      </c>
      <c r="T1012" s="4" t="s">
        <v>2228</v>
      </c>
      <c r="U1012" s="4" t="s">
        <v>2229</v>
      </c>
      <c r="V1012" s="4" t="s">
        <v>25</v>
      </c>
      <c r="W1012" s="4" t="s">
        <v>2278</v>
      </c>
      <c r="X1012" s="4" t="s">
        <v>2224</v>
      </c>
      <c r="Y1012" s="4" t="s">
        <v>2384</v>
      </c>
      <c r="Z1012" s="6">
        <v>10710.15</v>
      </c>
      <c r="AA1012" s="6">
        <v>128521.8</v>
      </c>
      <c r="AB1012" s="4" t="s">
        <v>2232</v>
      </c>
      <c r="AC1012" s="7" t="s">
        <v>2224</v>
      </c>
    </row>
    <row r="1013" spans="1:29" ht="15" customHeight="1" collapsed="1" thickBot="1" x14ac:dyDescent="0.3">
      <c r="A1013" s="20" t="str">
        <f>CONCATENATE("617"," - ","MISS", " ","Martha"," ", "Seabi")</f>
        <v>617 - MISS Martha Seabi</v>
      </c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2"/>
    </row>
    <row r="1014" spans="1:29" ht="15" hidden="1" customHeight="1" outlineLevel="1" thickBot="1" x14ac:dyDescent="0.3">
      <c r="A1014" s="4" t="s">
        <v>3782</v>
      </c>
      <c r="B1014" s="4" t="s">
        <v>73</v>
      </c>
      <c r="C1014" s="4" t="s">
        <v>2220</v>
      </c>
      <c r="D1014" s="5">
        <v>42962.462500000001</v>
      </c>
      <c r="E1014" s="4" t="s">
        <v>2221</v>
      </c>
      <c r="F1014" s="4" t="s">
        <v>2222</v>
      </c>
      <c r="G1014" s="4" t="s">
        <v>2234</v>
      </c>
      <c r="H1014" s="4" t="s">
        <v>904</v>
      </c>
      <c r="I1014" s="4" t="s">
        <v>905</v>
      </c>
      <c r="J1014" s="4" t="s">
        <v>903</v>
      </c>
      <c r="K1014" s="5">
        <v>28300</v>
      </c>
      <c r="L1014" s="4" t="s">
        <v>3783</v>
      </c>
      <c r="M1014" s="4" t="s">
        <v>9</v>
      </c>
      <c r="N1014" s="5">
        <v>39006</v>
      </c>
      <c r="O1014" s="5" t="s">
        <v>2224</v>
      </c>
      <c r="P1014" s="4" t="s">
        <v>2224</v>
      </c>
      <c r="Q1014" s="4" t="s">
        <v>2409</v>
      </c>
      <c r="R1014" s="4" t="s">
        <v>2226</v>
      </c>
      <c r="S1014" s="4" t="s">
        <v>2227</v>
      </c>
      <c r="T1014" s="4" t="s">
        <v>2228</v>
      </c>
      <c r="U1014" s="4" t="s">
        <v>2248</v>
      </c>
      <c r="V1014" s="4" t="s">
        <v>25</v>
      </c>
      <c r="W1014" s="4" t="s">
        <v>2278</v>
      </c>
      <c r="X1014" s="4" t="s">
        <v>2224</v>
      </c>
      <c r="Y1014" s="4" t="s">
        <v>2609</v>
      </c>
      <c r="Z1014" s="6">
        <v>17112.251499999998</v>
      </c>
      <c r="AA1014" s="6">
        <v>205347.02</v>
      </c>
      <c r="AB1014" s="4" t="s">
        <v>2232</v>
      </c>
      <c r="AC1014" s="7" t="s">
        <v>2224</v>
      </c>
    </row>
    <row r="1015" spans="1:29" ht="15" customHeight="1" collapsed="1" thickBot="1" x14ac:dyDescent="0.3">
      <c r="A1015" s="20" t="str">
        <f>CONCATENATE("618"," - ","MISS", " ","Innocent"," ", "Sebeela")</f>
        <v>618 - MISS Innocent Sebeela</v>
      </c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2"/>
    </row>
    <row r="1016" spans="1:29" ht="15" hidden="1" customHeight="1" outlineLevel="1" thickBot="1" x14ac:dyDescent="0.3">
      <c r="A1016" s="4" t="s">
        <v>3784</v>
      </c>
      <c r="B1016" s="4" t="s">
        <v>561</v>
      </c>
      <c r="C1016" s="4" t="s">
        <v>2220</v>
      </c>
      <c r="D1016" s="5">
        <v>42962.461805555555</v>
      </c>
      <c r="E1016" s="4" t="s">
        <v>2221</v>
      </c>
      <c r="F1016" s="4" t="s">
        <v>2222</v>
      </c>
      <c r="G1016" s="4" t="s">
        <v>2234</v>
      </c>
      <c r="H1016" s="4" t="s">
        <v>1841</v>
      </c>
      <c r="I1016" s="4" t="s">
        <v>1775</v>
      </c>
      <c r="J1016" s="4" t="s">
        <v>1840</v>
      </c>
      <c r="K1016" s="5">
        <v>30714</v>
      </c>
      <c r="L1016" s="4" t="s">
        <v>3785</v>
      </c>
      <c r="M1016" s="4" t="s">
        <v>9</v>
      </c>
      <c r="N1016" s="5">
        <v>42128</v>
      </c>
      <c r="O1016" s="5" t="s">
        <v>2224</v>
      </c>
      <c r="P1016" s="4" t="s">
        <v>2224</v>
      </c>
      <c r="Q1016" s="4" t="s">
        <v>2282</v>
      </c>
      <c r="R1016" s="4" t="s">
        <v>2226</v>
      </c>
      <c r="S1016" s="4" t="s">
        <v>2227</v>
      </c>
      <c r="T1016" s="4" t="s">
        <v>2228</v>
      </c>
      <c r="U1016" s="4" t="s">
        <v>2229</v>
      </c>
      <c r="V1016" s="4" t="s">
        <v>25</v>
      </c>
      <c r="W1016" s="4" t="s">
        <v>2278</v>
      </c>
      <c r="X1016" s="4" t="s">
        <v>2224</v>
      </c>
      <c r="Y1016" s="4" t="s">
        <v>2384</v>
      </c>
      <c r="Z1016" s="6">
        <v>10844.03</v>
      </c>
      <c r="AA1016" s="6">
        <v>130128.36</v>
      </c>
      <c r="AB1016" s="4" t="s">
        <v>2232</v>
      </c>
      <c r="AC1016" s="7" t="s">
        <v>2224</v>
      </c>
    </row>
    <row r="1017" spans="1:29" ht="15" customHeight="1" collapsed="1" thickBot="1" x14ac:dyDescent="0.3">
      <c r="A1017" s="20" t="str">
        <f>CONCATENATE("619"," - ","MISS", " ","Shirvonia"," ", "Seboekoe")</f>
        <v>619 - MISS Shirvonia Seboekoe</v>
      </c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2"/>
    </row>
    <row r="1018" spans="1:29" ht="15" hidden="1" customHeight="1" outlineLevel="1" thickBot="1" x14ac:dyDescent="0.3">
      <c r="A1018" s="4" t="s">
        <v>3786</v>
      </c>
      <c r="B1018" s="4" t="s">
        <v>377</v>
      </c>
      <c r="C1018" s="4" t="s">
        <v>2220</v>
      </c>
      <c r="D1018" s="5">
        <v>42962.538888888885</v>
      </c>
      <c r="E1018" s="4" t="s">
        <v>2221</v>
      </c>
      <c r="F1018" s="4" t="s">
        <v>2222</v>
      </c>
      <c r="G1018" s="4" t="s">
        <v>2234</v>
      </c>
      <c r="H1018" s="4" t="s">
        <v>1139</v>
      </c>
      <c r="I1018" s="4" t="s">
        <v>1486</v>
      </c>
      <c r="J1018" s="4" t="s">
        <v>1485</v>
      </c>
      <c r="K1018" s="5">
        <v>33295</v>
      </c>
      <c r="L1018" s="4" t="s">
        <v>3787</v>
      </c>
      <c r="M1018" s="4" t="s">
        <v>9</v>
      </c>
      <c r="N1018" s="5">
        <v>41431</v>
      </c>
      <c r="O1018" s="5" t="s">
        <v>2224</v>
      </c>
      <c r="P1018" s="4" t="s">
        <v>2224</v>
      </c>
      <c r="Q1018" s="4" t="s">
        <v>2536</v>
      </c>
      <c r="R1018" s="4" t="s">
        <v>2226</v>
      </c>
      <c r="S1018" s="4" t="s">
        <v>2227</v>
      </c>
      <c r="T1018" s="4" t="s">
        <v>2228</v>
      </c>
      <c r="U1018" s="4" t="s">
        <v>2237</v>
      </c>
      <c r="V1018" s="4" t="s">
        <v>8</v>
      </c>
      <c r="W1018" s="4" t="s">
        <v>2278</v>
      </c>
      <c r="X1018" s="4" t="s">
        <v>2224</v>
      </c>
      <c r="Y1018" s="4" t="s">
        <v>2239</v>
      </c>
      <c r="Z1018" s="6">
        <v>16486.2572</v>
      </c>
      <c r="AA1018" s="6">
        <v>197835.09</v>
      </c>
      <c r="AB1018" s="4" t="s">
        <v>2232</v>
      </c>
      <c r="AC1018" s="7" t="s">
        <v>2224</v>
      </c>
    </row>
    <row r="1019" spans="1:29" ht="15" customHeight="1" collapsed="1" thickBot="1" x14ac:dyDescent="0.3">
      <c r="A1019" s="20" t="str">
        <f>CONCATENATE("62"," - ","MISS", " ","Bianca"," ", "Bokelmann")</f>
        <v>62 - MISS Bianca Bokelmann</v>
      </c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2"/>
    </row>
    <row r="1020" spans="1:29" ht="15" hidden="1" customHeight="1" outlineLevel="1" thickBot="1" x14ac:dyDescent="0.3">
      <c r="A1020" s="4" t="s">
        <v>3788</v>
      </c>
      <c r="B1020" s="4" t="s">
        <v>371</v>
      </c>
      <c r="C1020" s="4" t="s">
        <v>2220</v>
      </c>
      <c r="D1020" s="5">
        <v>42962.549999999996</v>
      </c>
      <c r="E1020" s="4" t="s">
        <v>2221</v>
      </c>
      <c r="F1020" s="4" t="s">
        <v>2222</v>
      </c>
      <c r="G1020" s="4" t="s">
        <v>2234</v>
      </c>
      <c r="H1020" s="4" t="s">
        <v>791</v>
      </c>
      <c r="I1020" s="4" t="s">
        <v>1006</v>
      </c>
      <c r="J1020" s="4" t="s">
        <v>1474</v>
      </c>
      <c r="K1020" s="5">
        <v>33382</v>
      </c>
      <c r="L1020" s="4" t="s">
        <v>3789</v>
      </c>
      <c r="M1020" s="4" t="s">
        <v>9</v>
      </c>
      <c r="N1020" s="5">
        <v>41373</v>
      </c>
      <c r="O1020" s="5" t="s">
        <v>2224</v>
      </c>
      <c r="P1020" s="4" t="s">
        <v>2224</v>
      </c>
      <c r="Q1020" s="4" t="s">
        <v>3790</v>
      </c>
      <c r="R1020" s="4" t="s">
        <v>2226</v>
      </c>
      <c r="S1020" s="4" t="s">
        <v>2227</v>
      </c>
      <c r="T1020" s="4" t="s">
        <v>2228</v>
      </c>
      <c r="U1020" s="4" t="s">
        <v>2237</v>
      </c>
      <c r="V1020" s="4" t="s">
        <v>125</v>
      </c>
      <c r="W1020" s="4" t="s">
        <v>2230</v>
      </c>
      <c r="X1020" s="4" t="s">
        <v>2224</v>
      </c>
      <c r="Y1020" s="4" t="s">
        <v>2239</v>
      </c>
      <c r="Z1020" s="6">
        <v>20646.896499999999</v>
      </c>
      <c r="AA1020" s="6">
        <v>247762.76</v>
      </c>
      <c r="AB1020" s="4" t="s">
        <v>2232</v>
      </c>
      <c r="AC1020" s="7" t="s">
        <v>2224</v>
      </c>
    </row>
    <row r="1021" spans="1:29" ht="15" customHeight="1" collapsed="1" thickBot="1" x14ac:dyDescent="0.3">
      <c r="A1021" s="20" t="str">
        <f>CONCATENATE("620"," - ","MR", " ","Albert"," ", "Seele")</f>
        <v>620 - MR Albert Seele</v>
      </c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2"/>
    </row>
    <row r="1022" spans="1:29" ht="15" hidden="1" customHeight="1" outlineLevel="1" thickBot="1" x14ac:dyDescent="0.3">
      <c r="A1022" s="4" t="s">
        <v>3791</v>
      </c>
      <c r="B1022" s="4" t="s">
        <v>127</v>
      </c>
      <c r="C1022" s="4" t="s">
        <v>2220</v>
      </c>
      <c r="D1022" s="5">
        <v>42962.529166666667</v>
      </c>
      <c r="E1022" s="4" t="s">
        <v>2221</v>
      </c>
      <c r="F1022" s="4" t="s">
        <v>2222</v>
      </c>
      <c r="G1022" s="4" t="s">
        <v>2014</v>
      </c>
      <c r="H1022" s="4" t="s">
        <v>1012</v>
      </c>
      <c r="I1022" s="4" t="s">
        <v>1013</v>
      </c>
      <c r="J1022" s="4" t="s">
        <v>1011</v>
      </c>
      <c r="K1022" s="5">
        <v>22562</v>
      </c>
      <c r="L1022" s="4" t="s">
        <v>3792</v>
      </c>
      <c r="M1022" s="4" t="s">
        <v>9</v>
      </c>
      <c r="N1022" s="5">
        <v>39084</v>
      </c>
      <c r="O1022" s="5" t="s">
        <v>2224</v>
      </c>
      <c r="P1022" s="4" t="s">
        <v>2224</v>
      </c>
      <c r="Q1022" s="4" t="s">
        <v>3793</v>
      </c>
      <c r="R1022" s="4" t="s">
        <v>2226</v>
      </c>
      <c r="S1022" s="4" t="s">
        <v>2227</v>
      </c>
      <c r="T1022" s="4" t="s">
        <v>2228</v>
      </c>
      <c r="U1022" s="4" t="s">
        <v>2258</v>
      </c>
      <c r="V1022" s="4" t="s">
        <v>13</v>
      </c>
      <c r="W1022" s="4" t="s">
        <v>2249</v>
      </c>
      <c r="X1022" s="4" t="s">
        <v>2224</v>
      </c>
      <c r="Y1022" s="4" t="s">
        <v>2259</v>
      </c>
      <c r="Z1022" s="6">
        <v>116515.38959999999</v>
      </c>
      <c r="AA1022" s="6">
        <v>1398184.68</v>
      </c>
      <c r="AB1022" s="4" t="s">
        <v>2232</v>
      </c>
      <c r="AC1022" s="7" t="s">
        <v>2224</v>
      </c>
    </row>
    <row r="1023" spans="1:29" ht="15" customHeight="1" collapsed="1" thickBot="1" x14ac:dyDescent="0.3">
      <c r="A1023" s="20" t="str">
        <f>CONCATENATE("621"," - ","MS", " ","Lerato"," ", "Segage")</f>
        <v>621 - MS Lerato Segage</v>
      </c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2"/>
    </row>
    <row r="1024" spans="1:29" ht="15" hidden="1" customHeight="1" outlineLevel="1" thickBot="1" x14ac:dyDescent="0.3">
      <c r="A1024" s="4" t="s">
        <v>3794</v>
      </c>
      <c r="B1024" s="4" t="s">
        <v>775</v>
      </c>
      <c r="C1024" s="4" t="s">
        <v>2220</v>
      </c>
      <c r="D1024" s="5">
        <v>42962.462500000001</v>
      </c>
      <c r="E1024" s="4" t="s">
        <v>2221</v>
      </c>
      <c r="F1024" s="4" t="s">
        <v>2222</v>
      </c>
      <c r="G1024" s="4" t="s">
        <v>813</v>
      </c>
      <c r="H1024" s="4" t="s">
        <v>878</v>
      </c>
      <c r="I1024" s="4" t="s">
        <v>1428</v>
      </c>
      <c r="J1024" s="4" t="s">
        <v>2195</v>
      </c>
      <c r="K1024" s="5">
        <v>32255</v>
      </c>
      <c r="L1024" s="4" t="s">
        <v>3795</v>
      </c>
      <c r="M1024" s="4" t="s">
        <v>9</v>
      </c>
      <c r="N1024" s="5">
        <v>42891</v>
      </c>
      <c r="O1024" s="5" t="s">
        <v>2224</v>
      </c>
      <c r="P1024" s="4" t="s">
        <v>2224</v>
      </c>
      <c r="Q1024" s="4" t="s">
        <v>3796</v>
      </c>
      <c r="R1024" s="4" t="s">
        <v>2226</v>
      </c>
      <c r="S1024" s="4" t="s">
        <v>2227</v>
      </c>
      <c r="T1024" s="4" t="s">
        <v>2228</v>
      </c>
      <c r="U1024" s="4" t="s">
        <v>2248</v>
      </c>
      <c r="V1024" s="4" t="s">
        <v>27</v>
      </c>
      <c r="W1024" s="4" t="s">
        <v>2224</v>
      </c>
      <c r="X1024" s="4" t="s">
        <v>2224</v>
      </c>
      <c r="Y1024" s="4" t="s">
        <v>2887</v>
      </c>
      <c r="Z1024" s="6">
        <v>14854</v>
      </c>
      <c r="AA1024" s="6">
        <v>178248</v>
      </c>
      <c r="AB1024" s="4" t="s">
        <v>2224</v>
      </c>
      <c r="AC1024" s="7" t="s">
        <v>3797</v>
      </c>
    </row>
    <row r="1025" spans="1:29" ht="15" customHeight="1" collapsed="1" thickBot="1" x14ac:dyDescent="0.3">
      <c r="A1025" s="20" t="str">
        <f>CONCATENATE("622"," - ","MISS", " ","Nthabiseng"," ", "Sehlogo")</f>
        <v>622 - MISS Nthabiseng Sehlogo</v>
      </c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2"/>
    </row>
    <row r="1026" spans="1:29" ht="15" hidden="1" customHeight="1" outlineLevel="1" thickBot="1" x14ac:dyDescent="0.3">
      <c r="A1026" s="4" t="s">
        <v>3798</v>
      </c>
      <c r="B1026" s="4" t="s">
        <v>484</v>
      </c>
      <c r="C1026" s="4" t="s">
        <v>2220</v>
      </c>
      <c r="D1026" s="5">
        <v>42962.461805555555</v>
      </c>
      <c r="E1026" s="4" t="s">
        <v>2221</v>
      </c>
      <c r="F1026" s="4" t="s">
        <v>2222</v>
      </c>
      <c r="G1026" s="4" t="s">
        <v>2234</v>
      </c>
      <c r="H1026" s="4" t="s">
        <v>797</v>
      </c>
      <c r="I1026" s="4" t="s">
        <v>1702</v>
      </c>
      <c r="J1026" s="4" t="s">
        <v>1701</v>
      </c>
      <c r="K1026" s="5">
        <v>32587</v>
      </c>
      <c r="L1026" s="4" t="s">
        <v>3799</v>
      </c>
      <c r="M1026" s="4" t="s">
        <v>9</v>
      </c>
      <c r="N1026" s="5">
        <v>41883</v>
      </c>
      <c r="O1026" s="5" t="s">
        <v>2224</v>
      </c>
      <c r="P1026" s="4" t="s">
        <v>2224</v>
      </c>
      <c r="Q1026" s="4" t="s">
        <v>3800</v>
      </c>
      <c r="R1026" s="4" t="s">
        <v>2226</v>
      </c>
      <c r="S1026" s="4" t="s">
        <v>2227</v>
      </c>
      <c r="T1026" s="4" t="s">
        <v>2228</v>
      </c>
      <c r="U1026" s="4" t="s">
        <v>2229</v>
      </c>
      <c r="V1026" s="4" t="s">
        <v>25</v>
      </c>
      <c r="W1026" s="4" t="s">
        <v>2278</v>
      </c>
      <c r="X1026" s="4" t="s">
        <v>2224</v>
      </c>
      <c r="Y1026" s="4" t="s">
        <v>2384</v>
      </c>
      <c r="Z1026" s="6">
        <v>10844.03</v>
      </c>
      <c r="AA1026" s="6">
        <v>130128.36</v>
      </c>
      <c r="AB1026" s="4" t="s">
        <v>2232</v>
      </c>
      <c r="AC1026" s="7" t="s">
        <v>2224</v>
      </c>
    </row>
    <row r="1027" spans="1:29" ht="15" customHeight="1" collapsed="1" thickBot="1" x14ac:dyDescent="0.3">
      <c r="A1027" s="20" t="str">
        <f>CONCATENATE("623"," - ","MISS", " ","Dineo"," ", "Seimise")</f>
        <v>623 - MISS Dineo Seimise</v>
      </c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2"/>
    </row>
    <row r="1028" spans="1:29" ht="15" hidden="1" customHeight="1" outlineLevel="1" thickBot="1" x14ac:dyDescent="0.3">
      <c r="A1028" s="4" t="s">
        <v>3801</v>
      </c>
      <c r="B1028" s="4" t="s">
        <v>422</v>
      </c>
      <c r="C1028" s="4" t="s">
        <v>2220</v>
      </c>
      <c r="D1028" s="5">
        <v>42962.549999999996</v>
      </c>
      <c r="E1028" s="4" t="s">
        <v>2221</v>
      </c>
      <c r="F1028" s="4" t="s">
        <v>2222</v>
      </c>
      <c r="G1028" s="4" t="s">
        <v>2234</v>
      </c>
      <c r="H1028" s="4" t="s">
        <v>1572</v>
      </c>
      <c r="I1028" s="4" t="s">
        <v>1573</v>
      </c>
      <c r="J1028" s="4" t="s">
        <v>1571</v>
      </c>
      <c r="K1028" s="5">
        <v>32941</v>
      </c>
      <c r="L1028" s="4" t="s">
        <v>3802</v>
      </c>
      <c r="M1028" s="4" t="s">
        <v>9</v>
      </c>
      <c r="N1028" s="5">
        <v>41556</v>
      </c>
      <c r="O1028" s="5" t="s">
        <v>2224</v>
      </c>
      <c r="P1028" s="4" t="s">
        <v>2224</v>
      </c>
      <c r="Q1028" s="4" t="s">
        <v>3803</v>
      </c>
      <c r="R1028" s="4" t="s">
        <v>2226</v>
      </c>
      <c r="S1028" s="4" t="s">
        <v>2227</v>
      </c>
      <c r="T1028" s="4" t="s">
        <v>2228</v>
      </c>
      <c r="U1028" s="4" t="s">
        <v>2237</v>
      </c>
      <c r="V1028" s="4" t="s">
        <v>8</v>
      </c>
      <c r="W1028" s="4" t="s">
        <v>2278</v>
      </c>
      <c r="X1028" s="4" t="s">
        <v>2224</v>
      </c>
      <c r="Y1028" s="4" t="s">
        <v>2239</v>
      </c>
      <c r="Z1028" s="6">
        <v>16486.259999999998</v>
      </c>
      <c r="AA1028" s="6">
        <v>197835.12</v>
      </c>
      <c r="AB1028" s="4" t="s">
        <v>2232</v>
      </c>
      <c r="AC1028" s="7" t="s">
        <v>2224</v>
      </c>
    </row>
    <row r="1029" spans="1:29" ht="15" customHeight="1" collapsed="1" thickBot="1" x14ac:dyDescent="0.3">
      <c r="A1029" s="20" t="str">
        <f>CONCATENATE("624"," - ","MR", " ","Arthur"," ", "Seitshiro")</f>
        <v>624 - MR Arthur Seitshiro</v>
      </c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2"/>
    </row>
    <row r="1030" spans="1:29" ht="15" hidden="1" customHeight="1" outlineLevel="1" thickBot="1" x14ac:dyDescent="0.3">
      <c r="A1030" s="4" t="s">
        <v>3804</v>
      </c>
      <c r="B1030" s="4" t="s">
        <v>211</v>
      </c>
      <c r="C1030" s="4" t="s">
        <v>2220</v>
      </c>
      <c r="D1030" s="5">
        <v>42962.461111111108</v>
      </c>
      <c r="E1030" s="4" t="s">
        <v>2221</v>
      </c>
      <c r="F1030" s="4" t="s">
        <v>2222</v>
      </c>
      <c r="G1030" s="4" t="s">
        <v>2014</v>
      </c>
      <c r="H1030" s="4" t="s">
        <v>1014</v>
      </c>
      <c r="I1030" s="4" t="s">
        <v>1180</v>
      </c>
      <c r="J1030" s="4" t="s">
        <v>1179</v>
      </c>
      <c r="K1030" s="5">
        <v>26529</v>
      </c>
      <c r="L1030" s="4" t="s">
        <v>3805</v>
      </c>
      <c r="M1030" s="4" t="s">
        <v>9</v>
      </c>
      <c r="N1030" s="5">
        <v>39965</v>
      </c>
      <c r="O1030" s="5" t="s">
        <v>2224</v>
      </c>
      <c r="P1030" s="4" t="s">
        <v>2224</v>
      </c>
      <c r="Q1030" s="4" t="s">
        <v>2817</v>
      </c>
      <c r="R1030" s="4" t="s">
        <v>2226</v>
      </c>
      <c r="S1030" s="4" t="s">
        <v>2227</v>
      </c>
      <c r="T1030" s="4" t="s">
        <v>2228</v>
      </c>
      <c r="U1030" s="4" t="s">
        <v>2229</v>
      </c>
      <c r="V1030" s="4" t="s">
        <v>25</v>
      </c>
      <c r="W1030" s="4" t="s">
        <v>2278</v>
      </c>
      <c r="X1030" s="4" t="s">
        <v>2224</v>
      </c>
      <c r="Y1030" s="4" t="s">
        <v>2423</v>
      </c>
      <c r="Z1030" s="6">
        <v>5698.2393000000002</v>
      </c>
      <c r="AA1030" s="6">
        <v>68378.87</v>
      </c>
      <c r="AB1030" s="4" t="s">
        <v>2232</v>
      </c>
      <c r="AC1030" s="7" t="s">
        <v>2224</v>
      </c>
    </row>
    <row r="1031" spans="1:29" ht="15" customHeight="1" collapsed="1" thickBot="1" x14ac:dyDescent="0.3">
      <c r="A1031" s="20" t="str">
        <f>CONCATENATE("625"," - ","MS", " ","Boitumelo"," ", "Sekete")</f>
        <v>625 - MS Boitumelo Sekete</v>
      </c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2"/>
    </row>
    <row r="1032" spans="1:29" ht="15" hidden="1" customHeight="1" outlineLevel="1" thickBot="1" x14ac:dyDescent="0.3">
      <c r="A1032" s="4" t="s">
        <v>3806</v>
      </c>
      <c r="B1032" s="4" t="s">
        <v>649</v>
      </c>
      <c r="C1032" s="4" t="s">
        <v>2220</v>
      </c>
      <c r="D1032" s="5">
        <v>42962.549999999996</v>
      </c>
      <c r="E1032" s="4" t="s">
        <v>2221</v>
      </c>
      <c r="F1032" s="4" t="s">
        <v>2222</v>
      </c>
      <c r="G1032" s="4" t="s">
        <v>813</v>
      </c>
      <c r="H1032" s="4" t="s">
        <v>791</v>
      </c>
      <c r="I1032" s="4" t="s">
        <v>1222</v>
      </c>
      <c r="J1032" s="4" t="s">
        <v>1981</v>
      </c>
      <c r="K1032" s="5">
        <v>33022</v>
      </c>
      <c r="L1032" s="4" t="s">
        <v>3807</v>
      </c>
      <c r="M1032" s="4" t="s">
        <v>9</v>
      </c>
      <c r="N1032" s="5">
        <v>42332</v>
      </c>
      <c r="O1032" s="5" t="s">
        <v>2224</v>
      </c>
      <c r="P1032" s="4" t="s">
        <v>2224</v>
      </c>
      <c r="Q1032" s="4" t="s">
        <v>3808</v>
      </c>
      <c r="R1032" s="4" t="s">
        <v>2226</v>
      </c>
      <c r="S1032" s="4" t="s">
        <v>2227</v>
      </c>
      <c r="T1032" s="4" t="s">
        <v>2228</v>
      </c>
      <c r="U1032" s="4" t="s">
        <v>2237</v>
      </c>
      <c r="V1032" s="4" t="s">
        <v>8</v>
      </c>
      <c r="W1032" s="4" t="s">
        <v>2278</v>
      </c>
      <c r="X1032" s="4" t="s">
        <v>2224</v>
      </c>
      <c r="Y1032" s="4" t="s">
        <v>2239</v>
      </c>
      <c r="Z1032" s="6">
        <v>16081.7</v>
      </c>
      <c r="AA1032" s="6">
        <v>192980.4</v>
      </c>
      <c r="AB1032" s="4" t="s">
        <v>2232</v>
      </c>
      <c r="AC1032" s="7" t="s">
        <v>2224</v>
      </c>
    </row>
    <row r="1033" spans="1:29" ht="15" customHeight="1" collapsed="1" thickBot="1" x14ac:dyDescent="0.3">
      <c r="A1033" s="20" t="str">
        <f>CONCATENATE("627"," - ","MISS", " ","Tshepo"," ", "Selemela")</f>
        <v>627 - MISS Tshepo Selemela</v>
      </c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2"/>
    </row>
    <row r="1034" spans="1:29" ht="15" hidden="1" customHeight="1" outlineLevel="1" thickBot="1" x14ac:dyDescent="0.3">
      <c r="A1034" s="4" t="s">
        <v>3809</v>
      </c>
      <c r="B1034" s="4" t="s">
        <v>44</v>
      </c>
      <c r="C1034" s="4" t="s">
        <v>2220</v>
      </c>
      <c r="D1034" s="5">
        <v>42962.461805555555</v>
      </c>
      <c r="E1034" s="4" t="s">
        <v>2221</v>
      </c>
      <c r="F1034" s="4" t="s">
        <v>2222</v>
      </c>
      <c r="G1034" s="4" t="s">
        <v>2234</v>
      </c>
      <c r="H1034" s="4" t="s">
        <v>851</v>
      </c>
      <c r="I1034" s="4" t="s">
        <v>852</v>
      </c>
      <c r="J1034" s="4" t="s">
        <v>850</v>
      </c>
      <c r="K1034" s="5">
        <v>28950</v>
      </c>
      <c r="L1034" s="4" t="s">
        <v>3810</v>
      </c>
      <c r="M1034" s="4" t="s">
        <v>9</v>
      </c>
      <c r="N1034" s="5">
        <v>38986</v>
      </c>
      <c r="O1034" s="5" t="s">
        <v>2224</v>
      </c>
      <c r="P1034" s="4" t="s">
        <v>2224</v>
      </c>
      <c r="Q1034" s="4" t="s">
        <v>2542</v>
      </c>
      <c r="R1034" s="4" t="s">
        <v>2226</v>
      </c>
      <c r="S1034" s="4" t="s">
        <v>2227</v>
      </c>
      <c r="T1034" s="4" t="s">
        <v>2228</v>
      </c>
      <c r="U1034" s="4" t="s">
        <v>2229</v>
      </c>
      <c r="V1034" s="4" t="s">
        <v>25</v>
      </c>
      <c r="W1034" s="4" t="s">
        <v>2278</v>
      </c>
      <c r="X1034" s="4" t="s">
        <v>2224</v>
      </c>
      <c r="Y1034" s="4" t="s">
        <v>2449</v>
      </c>
      <c r="Z1034" s="6">
        <v>17112.2621</v>
      </c>
      <c r="AA1034" s="6">
        <v>205347.15</v>
      </c>
      <c r="AB1034" s="4" t="s">
        <v>2232</v>
      </c>
      <c r="AC1034" s="7" t="s">
        <v>2224</v>
      </c>
    </row>
    <row r="1035" spans="1:29" ht="15" customHeight="1" collapsed="1" thickBot="1" x14ac:dyDescent="0.3">
      <c r="A1035" s="20" t="str">
        <f>CONCATENATE("628"," - ","MRS", " ","Maria"," ", "Dube")</f>
        <v>628 - MRS Maria Dube</v>
      </c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2"/>
    </row>
    <row r="1036" spans="1:29" ht="15" hidden="1" customHeight="1" outlineLevel="1" thickBot="1" x14ac:dyDescent="0.3">
      <c r="A1036" s="4" t="s">
        <v>3811</v>
      </c>
      <c r="B1036" s="4" t="s">
        <v>248</v>
      </c>
      <c r="C1036" s="4" t="s">
        <v>2220</v>
      </c>
      <c r="D1036" s="5">
        <v>42962.549999999996</v>
      </c>
      <c r="E1036" s="4" t="s">
        <v>2221</v>
      </c>
      <c r="F1036" s="4" t="s">
        <v>2222</v>
      </c>
      <c r="G1036" s="4" t="s">
        <v>2280</v>
      </c>
      <c r="H1036" s="4" t="s">
        <v>788</v>
      </c>
      <c r="I1036" s="4" t="s">
        <v>1252</v>
      </c>
      <c r="J1036" s="4" t="s">
        <v>871</v>
      </c>
      <c r="K1036" s="5">
        <v>33172</v>
      </c>
      <c r="L1036" s="4" t="s">
        <v>3812</v>
      </c>
      <c r="M1036" s="4" t="s">
        <v>9</v>
      </c>
      <c r="N1036" s="5">
        <v>40483</v>
      </c>
      <c r="O1036" s="5" t="s">
        <v>2224</v>
      </c>
      <c r="P1036" s="4" t="s">
        <v>2224</v>
      </c>
      <c r="Q1036" s="4" t="s">
        <v>3813</v>
      </c>
      <c r="R1036" s="4" t="s">
        <v>2226</v>
      </c>
      <c r="S1036" s="4" t="s">
        <v>2227</v>
      </c>
      <c r="T1036" s="4" t="s">
        <v>2228</v>
      </c>
      <c r="U1036" s="4" t="s">
        <v>2237</v>
      </c>
      <c r="V1036" s="4" t="s">
        <v>70</v>
      </c>
      <c r="W1036" s="4" t="s">
        <v>2230</v>
      </c>
      <c r="X1036" s="4" t="s">
        <v>2224</v>
      </c>
      <c r="Y1036" s="4" t="s">
        <v>2239</v>
      </c>
      <c r="Z1036" s="6">
        <v>20904.990000000002</v>
      </c>
      <c r="AA1036" s="6">
        <v>250859.88</v>
      </c>
      <c r="AB1036" s="4" t="s">
        <v>2232</v>
      </c>
      <c r="AC1036" s="7" t="s">
        <v>2224</v>
      </c>
    </row>
    <row r="1037" spans="1:29" ht="15" customHeight="1" collapsed="1" thickBot="1" x14ac:dyDescent="0.3">
      <c r="A1037" s="20" t="str">
        <f>CONCATENATE("629"," - ","MR", " ","Leon"," ", "Senekal")</f>
        <v>629 - MR Leon Senekal</v>
      </c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2"/>
    </row>
    <row r="1038" spans="1:29" ht="15" hidden="1" customHeight="1" outlineLevel="1" thickBot="1" x14ac:dyDescent="0.3">
      <c r="A1038" s="4" t="s">
        <v>3814</v>
      </c>
      <c r="B1038" s="4" t="s">
        <v>272</v>
      </c>
      <c r="C1038" s="4" t="s">
        <v>2220</v>
      </c>
      <c r="D1038" s="5">
        <v>42962.462500000001</v>
      </c>
      <c r="E1038" s="4" t="s">
        <v>2221</v>
      </c>
      <c r="F1038" s="4" t="s">
        <v>2222</v>
      </c>
      <c r="G1038" s="4" t="s">
        <v>2014</v>
      </c>
      <c r="H1038" s="4" t="s">
        <v>826</v>
      </c>
      <c r="I1038" s="4" t="s">
        <v>1299</v>
      </c>
      <c r="J1038" s="4" t="s">
        <v>1298</v>
      </c>
      <c r="K1038" s="5">
        <v>25180</v>
      </c>
      <c r="L1038" s="4" t="s">
        <v>3815</v>
      </c>
      <c r="M1038" s="4" t="s">
        <v>9</v>
      </c>
      <c r="N1038" s="5">
        <v>40695</v>
      </c>
      <c r="O1038" s="5" t="s">
        <v>2224</v>
      </c>
      <c r="P1038" s="4" t="s">
        <v>2224</v>
      </c>
      <c r="Q1038" s="4" t="s">
        <v>3816</v>
      </c>
      <c r="R1038" s="4" t="s">
        <v>2226</v>
      </c>
      <c r="S1038" s="4" t="s">
        <v>2227</v>
      </c>
      <c r="T1038" s="4" t="s">
        <v>2228</v>
      </c>
      <c r="U1038" s="4" t="s">
        <v>2229</v>
      </c>
      <c r="V1038" s="4" t="s">
        <v>68</v>
      </c>
      <c r="W1038" s="4" t="s">
        <v>2249</v>
      </c>
      <c r="X1038" s="4" t="s">
        <v>2224</v>
      </c>
      <c r="Y1038" s="4" t="s">
        <v>2549</v>
      </c>
      <c r="Z1038" s="6">
        <v>31953.4</v>
      </c>
      <c r="AA1038" s="6">
        <v>383440.8</v>
      </c>
      <c r="AB1038" s="4" t="s">
        <v>2232</v>
      </c>
      <c r="AC1038" s="7" t="s">
        <v>2224</v>
      </c>
    </row>
    <row r="1039" spans="1:29" ht="15" customHeight="1" collapsed="1" thickBot="1" x14ac:dyDescent="0.3">
      <c r="A1039" s="20" t="str">
        <f>CONCATENATE("63"," - ","MISS", " ","Thandeka"," ", "Bolosha")</f>
        <v>63 - MISS Thandeka Bolosha</v>
      </c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2"/>
    </row>
    <row r="1040" spans="1:29" ht="15" hidden="1" customHeight="1" outlineLevel="1" thickBot="1" x14ac:dyDescent="0.3">
      <c r="A1040" s="4" t="s">
        <v>3817</v>
      </c>
      <c r="B1040" s="4" t="s">
        <v>273</v>
      </c>
      <c r="C1040" s="4" t="s">
        <v>2220</v>
      </c>
      <c r="D1040" s="5">
        <v>42962.461805555555</v>
      </c>
      <c r="E1040" s="4" t="s">
        <v>2221</v>
      </c>
      <c r="F1040" s="4" t="s">
        <v>2222</v>
      </c>
      <c r="G1040" s="4" t="s">
        <v>2234</v>
      </c>
      <c r="H1040" s="4" t="s">
        <v>1301</v>
      </c>
      <c r="I1040" s="4" t="s">
        <v>1302</v>
      </c>
      <c r="J1040" s="4" t="s">
        <v>1300</v>
      </c>
      <c r="K1040" s="5">
        <v>33320</v>
      </c>
      <c r="L1040" s="4" t="s">
        <v>3818</v>
      </c>
      <c r="M1040" s="4" t="s">
        <v>9</v>
      </c>
      <c r="N1040" s="5">
        <v>40695</v>
      </c>
      <c r="O1040" s="5" t="s">
        <v>2224</v>
      </c>
      <c r="P1040" s="4" t="s">
        <v>2224</v>
      </c>
      <c r="Q1040" s="4" t="s">
        <v>3819</v>
      </c>
      <c r="R1040" s="4" t="s">
        <v>2226</v>
      </c>
      <c r="S1040" s="4" t="s">
        <v>2227</v>
      </c>
      <c r="T1040" s="4" t="s">
        <v>2228</v>
      </c>
      <c r="U1040" s="4" t="s">
        <v>2229</v>
      </c>
      <c r="V1040" s="4" t="s">
        <v>25</v>
      </c>
      <c r="W1040" s="4" t="s">
        <v>2278</v>
      </c>
      <c r="X1040" s="4" t="s">
        <v>2224</v>
      </c>
      <c r="Y1040" s="4" t="s">
        <v>2384</v>
      </c>
      <c r="Z1040" s="6">
        <v>17112.25</v>
      </c>
      <c r="AA1040" s="6">
        <v>205347</v>
      </c>
      <c r="AB1040" s="4" t="s">
        <v>2232</v>
      </c>
      <c r="AC1040" s="7" t="s">
        <v>2224</v>
      </c>
    </row>
    <row r="1041" spans="1:29" ht="15" customHeight="1" collapsed="1" thickBot="1" x14ac:dyDescent="0.3">
      <c r="A1041" s="20" t="str">
        <f>CONCATENATE("630"," - ","MRS", " ","Sibuyiselo"," ", "Shabane")</f>
        <v>630 - MRS Sibuyiselo Shabane</v>
      </c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2"/>
    </row>
    <row r="1042" spans="1:29" ht="15" hidden="1" customHeight="1" outlineLevel="1" thickBot="1" x14ac:dyDescent="0.3">
      <c r="A1042" s="4" t="s">
        <v>3820</v>
      </c>
      <c r="B1042" s="4" t="s">
        <v>82</v>
      </c>
      <c r="C1042" s="4" t="s">
        <v>2220</v>
      </c>
      <c r="D1042" s="5">
        <v>42962.461111111108</v>
      </c>
      <c r="E1042" s="4" t="s">
        <v>2221</v>
      </c>
      <c r="F1042" s="4" t="s">
        <v>2222</v>
      </c>
      <c r="G1042" s="4" t="s">
        <v>2280</v>
      </c>
      <c r="H1042" s="4" t="s">
        <v>922</v>
      </c>
      <c r="I1042" s="4" t="s">
        <v>923</v>
      </c>
      <c r="J1042" s="4" t="s">
        <v>921</v>
      </c>
      <c r="K1042" s="5">
        <v>29081</v>
      </c>
      <c r="L1042" s="4" t="s">
        <v>3821</v>
      </c>
      <c r="M1042" s="4" t="s">
        <v>9</v>
      </c>
      <c r="N1042" s="5">
        <v>39020</v>
      </c>
      <c r="O1042" s="5" t="s">
        <v>2224</v>
      </c>
      <c r="P1042" s="4" t="s">
        <v>2224</v>
      </c>
      <c r="Q1042" s="4" t="s">
        <v>3822</v>
      </c>
      <c r="R1042" s="4" t="s">
        <v>2226</v>
      </c>
      <c r="S1042" s="4" t="s">
        <v>2227</v>
      </c>
      <c r="T1042" s="4" t="s">
        <v>2228</v>
      </c>
      <c r="U1042" s="4" t="s">
        <v>2229</v>
      </c>
      <c r="V1042" s="4" t="s">
        <v>17</v>
      </c>
      <c r="W1042" s="4" t="s">
        <v>2230</v>
      </c>
      <c r="X1042" s="4" t="s">
        <v>2224</v>
      </c>
      <c r="Y1042" s="4" t="s">
        <v>2631</v>
      </c>
      <c r="Z1042" s="6">
        <v>20904.989600000001</v>
      </c>
      <c r="AA1042" s="6">
        <v>250859.88</v>
      </c>
      <c r="AB1042" s="4" t="s">
        <v>2232</v>
      </c>
      <c r="AC1042" s="7" t="s">
        <v>2224</v>
      </c>
    </row>
    <row r="1043" spans="1:29" ht="15" customHeight="1" collapsed="1" thickBot="1" x14ac:dyDescent="0.3">
      <c r="A1043" s="20" t="str">
        <f>CONCATENATE("631"," - ","MR", " ","Shayen"," ", "Shackleford")</f>
        <v>631 - MR Shayen Shackleford</v>
      </c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2"/>
    </row>
    <row r="1044" spans="1:29" ht="15" hidden="1" customHeight="1" outlineLevel="1" thickBot="1" x14ac:dyDescent="0.3">
      <c r="A1044" s="4" t="s">
        <v>3823</v>
      </c>
      <c r="B1044" s="4" t="s">
        <v>765</v>
      </c>
      <c r="C1044" s="4" t="s">
        <v>2220</v>
      </c>
      <c r="D1044" s="5">
        <v>42963.292361111111</v>
      </c>
      <c r="E1044" s="4" t="s">
        <v>2221</v>
      </c>
      <c r="F1044" s="4" t="s">
        <v>2222</v>
      </c>
      <c r="G1044" s="4" t="s">
        <v>2014</v>
      </c>
      <c r="H1044" s="4" t="s">
        <v>2175</v>
      </c>
      <c r="I1044" s="4" t="s">
        <v>2176</v>
      </c>
      <c r="J1044" s="4" t="s">
        <v>2174</v>
      </c>
      <c r="K1044" s="5">
        <v>31441</v>
      </c>
      <c r="L1044" s="4" t="s">
        <v>3824</v>
      </c>
      <c r="M1044" s="4" t="s">
        <v>9</v>
      </c>
      <c r="N1044" s="5">
        <v>42887</v>
      </c>
      <c r="O1044" s="5" t="s">
        <v>2224</v>
      </c>
      <c r="P1044" s="4" t="s">
        <v>2224</v>
      </c>
      <c r="Q1044" s="4" t="s">
        <v>3825</v>
      </c>
      <c r="R1044" s="4" t="s">
        <v>2226</v>
      </c>
      <c r="S1044" s="4" t="s">
        <v>2227</v>
      </c>
      <c r="T1044" s="4" t="s">
        <v>2228</v>
      </c>
      <c r="U1044" s="4" t="s">
        <v>2258</v>
      </c>
      <c r="V1044" s="4" t="s">
        <v>246</v>
      </c>
      <c r="W1044" s="4" t="s">
        <v>2249</v>
      </c>
      <c r="X1044" s="4" t="s">
        <v>2224</v>
      </c>
      <c r="Y1044" s="4" t="s">
        <v>2259</v>
      </c>
      <c r="Z1044" s="6">
        <v>66716.14</v>
      </c>
      <c r="AA1044" s="6">
        <v>800593.68</v>
      </c>
      <c r="AB1044" s="4" t="s">
        <v>2232</v>
      </c>
      <c r="AC1044" s="7" t="s">
        <v>2244</v>
      </c>
    </row>
    <row r="1045" spans="1:29" ht="15" customHeight="1" collapsed="1" thickBot="1" x14ac:dyDescent="0.3">
      <c r="A1045" s="20" t="str">
        <f>CONCATENATE("632"," - ","MISS", " ","Rookaya"," ", "Shameem")</f>
        <v>632 - MISS Rookaya Shameem</v>
      </c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2"/>
    </row>
    <row r="1046" spans="1:29" ht="15" hidden="1" customHeight="1" outlineLevel="1" thickBot="1" x14ac:dyDescent="0.3">
      <c r="A1046" s="4" t="s">
        <v>3826</v>
      </c>
      <c r="B1046" s="4" t="s">
        <v>388</v>
      </c>
      <c r="C1046" s="4" t="s">
        <v>2220</v>
      </c>
      <c r="D1046" s="5">
        <v>42962.549999999996</v>
      </c>
      <c r="E1046" s="4" t="s">
        <v>2221</v>
      </c>
      <c r="F1046" s="4" t="s">
        <v>2222</v>
      </c>
      <c r="G1046" s="4" t="s">
        <v>2234</v>
      </c>
      <c r="H1046" s="4" t="s">
        <v>844</v>
      </c>
      <c r="I1046" s="4" t="s">
        <v>1504</v>
      </c>
      <c r="J1046" s="4" t="s">
        <v>1503</v>
      </c>
      <c r="K1046" s="5">
        <v>33597</v>
      </c>
      <c r="L1046" s="4" t="s">
        <v>3827</v>
      </c>
      <c r="M1046" s="4" t="s">
        <v>9</v>
      </c>
      <c r="N1046" s="5">
        <v>41465</v>
      </c>
      <c r="O1046" s="5" t="s">
        <v>2224</v>
      </c>
      <c r="P1046" s="4" t="s">
        <v>2224</v>
      </c>
      <c r="Q1046" s="4" t="s">
        <v>2552</v>
      </c>
      <c r="R1046" s="4" t="s">
        <v>2226</v>
      </c>
      <c r="S1046" s="4" t="s">
        <v>2227</v>
      </c>
      <c r="T1046" s="4" t="s">
        <v>2228</v>
      </c>
      <c r="U1046" s="4" t="s">
        <v>2237</v>
      </c>
      <c r="V1046" s="4" t="s">
        <v>8</v>
      </c>
      <c r="W1046" s="4" t="s">
        <v>2278</v>
      </c>
      <c r="X1046" s="4" t="s">
        <v>2224</v>
      </c>
      <c r="Y1046" s="4" t="s">
        <v>2239</v>
      </c>
      <c r="Z1046" s="6">
        <v>16692.34</v>
      </c>
      <c r="AA1046" s="6">
        <v>200308.08</v>
      </c>
      <c r="AB1046" s="4" t="s">
        <v>2232</v>
      </c>
      <c r="AC1046" s="7" t="s">
        <v>2224</v>
      </c>
    </row>
    <row r="1047" spans="1:29" ht="15" customHeight="1" collapsed="1" thickBot="1" x14ac:dyDescent="0.3">
      <c r="A1047" s="20" t="str">
        <f>CONCATENATE("633"," - ","MISS", " ","Rejoice"," ", "Shange")</f>
        <v>633 - MISS Rejoice Shange</v>
      </c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2"/>
    </row>
    <row r="1048" spans="1:29" ht="15" hidden="1" customHeight="1" outlineLevel="1" thickBot="1" x14ac:dyDescent="0.3">
      <c r="A1048" s="4" t="s">
        <v>3828</v>
      </c>
      <c r="B1048" s="4" t="s">
        <v>37</v>
      </c>
      <c r="C1048" s="4" t="s">
        <v>2220</v>
      </c>
      <c r="D1048" s="5">
        <v>42962.461805555555</v>
      </c>
      <c r="E1048" s="4" t="s">
        <v>2221</v>
      </c>
      <c r="F1048" s="4" t="s">
        <v>2222</v>
      </c>
      <c r="G1048" s="4" t="s">
        <v>2234</v>
      </c>
      <c r="H1048" s="4" t="s">
        <v>837</v>
      </c>
      <c r="I1048" s="4" t="s">
        <v>838</v>
      </c>
      <c r="J1048" s="4" t="s">
        <v>836</v>
      </c>
      <c r="K1048" s="5">
        <v>26068</v>
      </c>
      <c r="L1048" s="4" t="s">
        <v>3829</v>
      </c>
      <c r="M1048" s="4" t="s">
        <v>9</v>
      </c>
      <c r="N1048" s="5">
        <v>38985</v>
      </c>
      <c r="O1048" s="5" t="s">
        <v>2224</v>
      </c>
      <c r="P1048" s="4" t="s">
        <v>2224</v>
      </c>
      <c r="Q1048" s="4" t="s">
        <v>3325</v>
      </c>
      <c r="R1048" s="4" t="s">
        <v>2226</v>
      </c>
      <c r="S1048" s="4" t="s">
        <v>2227</v>
      </c>
      <c r="T1048" s="4" t="s">
        <v>2228</v>
      </c>
      <c r="U1048" s="4" t="s">
        <v>2229</v>
      </c>
      <c r="V1048" s="4" t="s">
        <v>17</v>
      </c>
      <c r="W1048" s="4" t="s">
        <v>2230</v>
      </c>
      <c r="X1048" s="4" t="s">
        <v>2224</v>
      </c>
      <c r="Y1048" s="4" t="s">
        <v>2384</v>
      </c>
      <c r="Z1048" s="6">
        <v>21430.874299999999</v>
      </c>
      <c r="AA1048" s="6">
        <v>257170.49</v>
      </c>
      <c r="AB1048" s="4" t="s">
        <v>2232</v>
      </c>
      <c r="AC1048" s="7" t="s">
        <v>2224</v>
      </c>
    </row>
    <row r="1049" spans="1:29" ht="15" customHeight="1" collapsed="1" thickBot="1" x14ac:dyDescent="0.3">
      <c r="A1049" s="20" t="str">
        <f>CONCATENATE("634"," - ","MISS", " ","Sphilile"," ", "Shange")</f>
        <v>634 - MISS Sphilile Shange</v>
      </c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2"/>
    </row>
    <row r="1050" spans="1:29" ht="15" hidden="1" customHeight="1" outlineLevel="1" thickBot="1" x14ac:dyDescent="0.3">
      <c r="A1050" s="4" t="s">
        <v>3830</v>
      </c>
      <c r="B1050" s="4" t="s">
        <v>217</v>
      </c>
      <c r="C1050" s="4" t="s">
        <v>2220</v>
      </c>
      <c r="D1050" s="5">
        <v>42962.461111111108</v>
      </c>
      <c r="E1050" s="4" t="s">
        <v>2221</v>
      </c>
      <c r="F1050" s="4" t="s">
        <v>2222</v>
      </c>
      <c r="G1050" s="4" t="s">
        <v>2234</v>
      </c>
      <c r="H1050" s="4" t="s">
        <v>1193</v>
      </c>
      <c r="I1050" s="4" t="s">
        <v>1194</v>
      </c>
      <c r="J1050" s="4" t="s">
        <v>836</v>
      </c>
      <c r="K1050" s="5">
        <v>31723</v>
      </c>
      <c r="L1050" s="4" t="s">
        <v>3831</v>
      </c>
      <c r="M1050" s="4" t="s">
        <v>9</v>
      </c>
      <c r="N1050" s="5">
        <v>40148</v>
      </c>
      <c r="O1050" s="5" t="s">
        <v>2224</v>
      </c>
      <c r="P1050" s="4" t="s">
        <v>2224</v>
      </c>
      <c r="Q1050" s="4" t="s">
        <v>3832</v>
      </c>
      <c r="R1050" s="4" t="s">
        <v>2226</v>
      </c>
      <c r="S1050" s="4" t="s">
        <v>2227</v>
      </c>
      <c r="T1050" s="4" t="s">
        <v>2228</v>
      </c>
      <c r="U1050" s="4" t="s">
        <v>2229</v>
      </c>
      <c r="V1050" s="4" t="s">
        <v>17</v>
      </c>
      <c r="W1050" s="4" t="s">
        <v>2278</v>
      </c>
      <c r="X1050" s="4" t="s">
        <v>2224</v>
      </c>
      <c r="Y1050" s="4" t="s">
        <v>2321</v>
      </c>
      <c r="Z1050" s="6">
        <v>19891.599999999999</v>
      </c>
      <c r="AA1050" s="6">
        <v>238699.2</v>
      </c>
      <c r="AB1050" s="4" t="s">
        <v>2232</v>
      </c>
      <c r="AC1050" s="7" t="s">
        <v>2224</v>
      </c>
    </row>
    <row r="1051" spans="1:29" ht="15" customHeight="1" collapsed="1" thickBot="1" x14ac:dyDescent="0.3">
      <c r="A1051" s="20" t="str">
        <f>CONCATENATE("635"," - ","MR", " ","Rayhan"," ", "Sheik Mahomed")</f>
        <v>635 - MR Rayhan Sheik Mahomed</v>
      </c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2"/>
    </row>
    <row r="1052" spans="1:29" ht="15" hidden="1" customHeight="1" outlineLevel="1" thickBot="1" x14ac:dyDescent="0.3">
      <c r="A1052" s="4" t="s">
        <v>3833</v>
      </c>
      <c r="B1052" s="4" t="s">
        <v>528</v>
      </c>
      <c r="C1052" s="4" t="s">
        <v>2220</v>
      </c>
      <c r="D1052" s="5">
        <v>42962.461805555555</v>
      </c>
      <c r="E1052" s="4" t="s">
        <v>2221</v>
      </c>
      <c r="F1052" s="4" t="s">
        <v>2222</v>
      </c>
      <c r="G1052" s="4" t="s">
        <v>2014</v>
      </c>
      <c r="H1052" s="4" t="s">
        <v>844</v>
      </c>
      <c r="I1052" s="4" t="s">
        <v>1785</v>
      </c>
      <c r="J1052" s="4" t="s">
        <v>1784</v>
      </c>
      <c r="K1052" s="5">
        <v>33607</v>
      </c>
      <c r="L1052" s="4" t="s">
        <v>3834</v>
      </c>
      <c r="M1052" s="4" t="s">
        <v>9</v>
      </c>
      <c r="N1052" s="5">
        <v>42072</v>
      </c>
      <c r="O1052" s="5" t="s">
        <v>2224</v>
      </c>
      <c r="P1052" s="4" t="s">
        <v>2224</v>
      </c>
      <c r="Q1052" s="4" t="s">
        <v>3835</v>
      </c>
      <c r="R1052" s="4" t="s">
        <v>2226</v>
      </c>
      <c r="S1052" s="4" t="s">
        <v>2227</v>
      </c>
      <c r="T1052" s="4" t="s">
        <v>2228</v>
      </c>
      <c r="U1052" s="4" t="s">
        <v>2229</v>
      </c>
      <c r="V1052" s="4" t="s">
        <v>25</v>
      </c>
      <c r="W1052" s="4" t="s">
        <v>2278</v>
      </c>
      <c r="X1052" s="4" t="s">
        <v>2224</v>
      </c>
      <c r="Y1052" s="4" t="s">
        <v>2321</v>
      </c>
      <c r="Z1052" s="6">
        <v>10710.1538</v>
      </c>
      <c r="AA1052" s="6">
        <v>128521.85</v>
      </c>
      <c r="AB1052" s="4" t="s">
        <v>2232</v>
      </c>
      <c r="AC1052" s="7" t="s">
        <v>2224</v>
      </c>
    </row>
    <row r="1053" spans="1:29" ht="15" customHeight="1" collapsed="1" thickBot="1" x14ac:dyDescent="0.3">
      <c r="A1053" s="20" t="str">
        <f>CONCATENATE("636"," - ","MISS", " ","Suaifa"," ", "Sheik")</f>
        <v>636 - MISS Suaifa Sheik</v>
      </c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2"/>
    </row>
    <row r="1054" spans="1:29" ht="15" hidden="1" customHeight="1" outlineLevel="1" thickBot="1" x14ac:dyDescent="0.3">
      <c r="A1054" s="4" t="s">
        <v>3836</v>
      </c>
      <c r="B1054" s="4" t="s">
        <v>385</v>
      </c>
      <c r="C1054" s="4" t="s">
        <v>2220</v>
      </c>
      <c r="D1054" s="5">
        <v>42962.549999999996</v>
      </c>
      <c r="E1054" s="4" t="s">
        <v>2221</v>
      </c>
      <c r="F1054" s="4" t="s">
        <v>2222</v>
      </c>
      <c r="G1054" s="4" t="s">
        <v>2234</v>
      </c>
      <c r="H1054" s="4" t="s">
        <v>800</v>
      </c>
      <c r="I1054" s="4" t="s">
        <v>1500</v>
      </c>
      <c r="J1054" s="4" t="s">
        <v>1499</v>
      </c>
      <c r="K1054" s="5">
        <v>34349</v>
      </c>
      <c r="L1054" s="4" t="s">
        <v>3837</v>
      </c>
      <c r="M1054" s="4" t="s">
        <v>9</v>
      </c>
      <c r="N1054" s="5">
        <v>41465</v>
      </c>
      <c r="O1054" s="5" t="s">
        <v>2224</v>
      </c>
      <c r="P1054" s="4" t="s">
        <v>2224</v>
      </c>
      <c r="Q1054" s="4" t="s">
        <v>2548</v>
      </c>
      <c r="R1054" s="4" t="s">
        <v>2226</v>
      </c>
      <c r="S1054" s="4" t="s">
        <v>2227</v>
      </c>
      <c r="T1054" s="4" t="s">
        <v>2228</v>
      </c>
      <c r="U1054" s="4" t="s">
        <v>2237</v>
      </c>
      <c r="V1054" s="4" t="s">
        <v>8</v>
      </c>
      <c r="W1054" s="4" t="s">
        <v>2278</v>
      </c>
      <c r="X1054" s="4" t="s">
        <v>2224</v>
      </c>
      <c r="Y1054" s="4" t="s">
        <v>2239</v>
      </c>
      <c r="Z1054" s="6">
        <v>16692.34</v>
      </c>
      <c r="AA1054" s="6">
        <v>200308.08</v>
      </c>
      <c r="AB1054" s="4" t="s">
        <v>2232</v>
      </c>
      <c r="AC1054" s="7" t="s">
        <v>2224</v>
      </c>
    </row>
    <row r="1055" spans="1:29" ht="15" customHeight="1" collapsed="1" thickBot="1" x14ac:dyDescent="0.3">
      <c r="A1055" s="20" t="str">
        <f>CONCATENATE("637"," - ","MR", " ","Fridah"," ", "Shini")</f>
        <v>637 - MR Fridah Shini</v>
      </c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2"/>
    </row>
    <row r="1056" spans="1:29" ht="15" hidden="1" customHeight="1" outlineLevel="1" thickBot="1" x14ac:dyDescent="0.3">
      <c r="A1056" s="4" t="s">
        <v>3838</v>
      </c>
      <c r="B1056" s="4" t="s">
        <v>766</v>
      </c>
      <c r="C1056" s="4" t="s">
        <v>2220</v>
      </c>
      <c r="D1056" s="5">
        <v>42962.549999999996</v>
      </c>
      <c r="E1056" s="4" t="s">
        <v>2221</v>
      </c>
      <c r="F1056" s="4" t="s">
        <v>2222</v>
      </c>
      <c r="G1056" s="4" t="s">
        <v>2014</v>
      </c>
      <c r="H1056" s="4" t="s">
        <v>2191</v>
      </c>
      <c r="I1056" s="4" t="s">
        <v>2192</v>
      </c>
      <c r="J1056" s="4" t="s">
        <v>2190</v>
      </c>
      <c r="K1056" s="5">
        <v>31418</v>
      </c>
      <c r="L1056" s="4" t="s">
        <v>3839</v>
      </c>
      <c r="M1056" s="4" t="s">
        <v>9</v>
      </c>
      <c r="N1056" s="5">
        <v>42887</v>
      </c>
      <c r="O1056" s="5" t="s">
        <v>2224</v>
      </c>
      <c r="P1056" s="4" t="s">
        <v>2224</v>
      </c>
      <c r="Q1056" s="4" t="s">
        <v>3840</v>
      </c>
      <c r="R1056" s="4" t="s">
        <v>2226</v>
      </c>
      <c r="S1056" s="4" t="s">
        <v>2227</v>
      </c>
      <c r="T1056" s="4" t="s">
        <v>2228</v>
      </c>
      <c r="U1056" s="4" t="s">
        <v>2237</v>
      </c>
      <c r="V1056" s="4" t="s">
        <v>8</v>
      </c>
      <c r="W1056" s="4" t="s">
        <v>2238</v>
      </c>
      <c r="X1056" s="4" t="s">
        <v>2224</v>
      </c>
      <c r="Y1056" s="4" t="s">
        <v>2224</v>
      </c>
      <c r="Z1056" s="6">
        <v>15883.16</v>
      </c>
      <c r="AA1056" s="6">
        <v>190597.92</v>
      </c>
      <c r="AB1056" s="4" t="s">
        <v>2224</v>
      </c>
      <c r="AC1056" s="7" t="s">
        <v>2244</v>
      </c>
    </row>
    <row r="1057" spans="1:29" ht="15" customHeight="1" collapsed="1" thickBot="1" x14ac:dyDescent="0.3">
      <c r="A1057" s="20" t="str">
        <f>CONCATENATE("638"," - ","MISS", " ","Katlego"," ", "Shuping")</f>
        <v>638 - MISS Katlego Shuping</v>
      </c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2"/>
    </row>
    <row r="1058" spans="1:29" ht="15" hidden="1" customHeight="1" outlineLevel="1" thickBot="1" x14ac:dyDescent="0.3">
      <c r="A1058" s="4" t="s">
        <v>3841</v>
      </c>
      <c r="B1058" s="4" t="s">
        <v>192</v>
      </c>
      <c r="C1058" s="4" t="s">
        <v>2220</v>
      </c>
      <c r="D1058" s="5">
        <v>42962.461111111108</v>
      </c>
      <c r="E1058" s="4" t="s">
        <v>2221</v>
      </c>
      <c r="F1058" s="4" t="s">
        <v>2222</v>
      </c>
      <c r="G1058" s="4" t="s">
        <v>2234</v>
      </c>
      <c r="H1058" s="4" t="s">
        <v>950</v>
      </c>
      <c r="I1058" s="4" t="s">
        <v>1137</v>
      </c>
      <c r="J1058" s="4" t="s">
        <v>1136</v>
      </c>
      <c r="K1058" s="5">
        <v>30908</v>
      </c>
      <c r="L1058" s="4" t="s">
        <v>3842</v>
      </c>
      <c r="M1058" s="4" t="s">
        <v>9</v>
      </c>
      <c r="N1058" s="5">
        <v>39509</v>
      </c>
      <c r="O1058" s="5" t="s">
        <v>2224</v>
      </c>
      <c r="P1058" s="4" t="s">
        <v>2224</v>
      </c>
      <c r="Q1058" s="4" t="s">
        <v>3701</v>
      </c>
      <c r="R1058" s="4" t="s">
        <v>2226</v>
      </c>
      <c r="S1058" s="4" t="s">
        <v>2227</v>
      </c>
      <c r="T1058" s="4" t="s">
        <v>2228</v>
      </c>
      <c r="U1058" s="4" t="s">
        <v>2229</v>
      </c>
      <c r="V1058" s="4" t="s">
        <v>17</v>
      </c>
      <c r="W1058" s="4" t="s">
        <v>2230</v>
      </c>
      <c r="X1058" s="4" t="s">
        <v>2224</v>
      </c>
      <c r="Y1058" s="4" t="s">
        <v>2423</v>
      </c>
      <c r="Z1058" s="6">
        <v>11526.3933</v>
      </c>
      <c r="AA1058" s="6">
        <v>138316.72</v>
      </c>
      <c r="AB1058" s="4" t="s">
        <v>2232</v>
      </c>
      <c r="AC1058" s="7" t="s">
        <v>2224</v>
      </c>
    </row>
    <row r="1059" spans="1:29" ht="15" customHeight="1" collapsed="1" thickBot="1" x14ac:dyDescent="0.3">
      <c r="A1059" s="20" t="str">
        <f>CONCATENATE("639"," - ","MISS", " ","ELAYIZOLO"," ", "Sibanda")</f>
        <v>639 - MISS ELAYIZOLO Sibanda</v>
      </c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2"/>
    </row>
    <row r="1060" spans="1:29" ht="15" hidden="1" customHeight="1" outlineLevel="1" thickBot="1" x14ac:dyDescent="0.3">
      <c r="A1060" s="4" t="s">
        <v>3843</v>
      </c>
      <c r="B1060" s="4" t="s">
        <v>175</v>
      </c>
      <c r="C1060" s="4" t="s">
        <v>2220</v>
      </c>
      <c r="D1060" s="5">
        <v>42962.462500000001</v>
      </c>
      <c r="E1060" s="4" t="s">
        <v>2221</v>
      </c>
      <c r="F1060" s="4" t="s">
        <v>2222</v>
      </c>
      <c r="G1060" s="4" t="s">
        <v>2234</v>
      </c>
      <c r="H1060" s="4" t="s">
        <v>816</v>
      </c>
      <c r="I1060" s="4" t="s">
        <v>1110</v>
      </c>
      <c r="J1060" s="4" t="s">
        <v>1109</v>
      </c>
      <c r="K1060" s="5">
        <v>31345</v>
      </c>
      <c r="L1060" s="4" t="s">
        <v>3844</v>
      </c>
      <c r="M1060" s="4" t="s">
        <v>9</v>
      </c>
      <c r="N1060" s="5">
        <v>39387</v>
      </c>
      <c r="O1060" s="5" t="s">
        <v>2224</v>
      </c>
      <c r="P1060" s="4" t="s">
        <v>2224</v>
      </c>
      <c r="Q1060" s="4" t="s">
        <v>3845</v>
      </c>
      <c r="R1060" s="4" t="s">
        <v>2226</v>
      </c>
      <c r="S1060" s="4" t="s">
        <v>2227</v>
      </c>
      <c r="T1060" s="4" t="s">
        <v>2228</v>
      </c>
      <c r="U1060" s="4" t="s">
        <v>2229</v>
      </c>
      <c r="V1060" s="4" t="s">
        <v>116</v>
      </c>
      <c r="W1060" s="4" t="s">
        <v>2249</v>
      </c>
      <c r="X1060" s="4" t="s">
        <v>2224</v>
      </c>
      <c r="Y1060" s="4" t="s">
        <v>2549</v>
      </c>
      <c r="Z1060" s="6">
        <v>26469.989399999999</v>
      </c>
      <c r="AA1060" s="6">
        <v>317639.87</v>
      </c>
      <c r="AB1060" s="4" t="s">
        <v>2232</v>
      </c>
      <c r="AC1060" s="7" t="s">
        <v>2224</v>
      </c>
    </row>
    <row r="1061" spans="1:29" ht="15" customHeight="1" collapsed="1" thickBot="1" x14ac:dyDescent="0.3">
      <c r="A1061" s="20" t="str">
        <f>CONCATENATE("64"," - ","", " ","Bonolo"," ", "Mosweu")</f>
        <v>64 -  Bonolo Mosweu</v>
      </c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2"/>
    </row>
    <row r="1062" spans="1:29" ht="15" hidden="1" customHeight="1" outlineLevel="1" thickBot="1" x14ac:dyDescent="0.3">
      <c r="A1062" s="4" t="s">
        <v>3846</v>
      </c>
      <c r="B1062" s="4" t="s">
        <v>356</v>
      </c>
      <c r="C1062" s="4" t="s">
        <v>2220</v>
      </c>
      <c r="D1062" s="5">
        <v>42962.537499999999</v>
      </c>
      <c r="E1062" s="4" t="s">
        <v>2221</v>
      </c>
      <c r="F1062" s="4" t="s">
        <v>2222</v>
      </c>
      <c r="G1062" s="4" t="s">
        <v>2224</v>
      </c>
      <c r="H1062" s="4" t="s">
        <v>791</v>
      </c>
      <c r="I1062" s="4" t="s">
        <v>1451</v>
      </c>
      <c r="J1062" s="4" t="s">
        <v>1450</v>
      </c>
      <c r="K1062" s="5">
        <v>33921</v>
      </c>
      <c r="L1062" s="4" t="s">
        <v>3847</v>
      </c>
      <c r="M1062" s="4" t="s">
        <v>9</v>
      </c>
      <c r="N1062" s="5">
        <v>41323</v>
      </c>
      <c r="O1062" s="5" t="s">
        <v>2224</v>
      </c>
      <c r="P1062" s="4" t="s">
        <v>2224</v>
      </c>
      <c r="Q1062" s="4" t="s">
        <v>3848</v>
      </c>
      <c r="R1062" s="4" t="s">
        <v>2226</v>
      </c>
      <c r="S1062" s="4" t="s">
        <v>2227</v>
      </c>
      <c r="T1062" s="4" t="s">
        <v>2228</v>
      </c>
      <c r="U1062" s="4" t="s">
        <v>2237</v>
      </c>
      <c r="V1062" s="4" t="s">
        <v>8</v>
      </c>
      <c r="W1062" s="4" t="s">
        <v>2238</v>
      </c>
      <c r="X1062" s="4" t="s">
        <v>2224</v>
      </c>
      <c r="Y1062" s="4" t="s">
        <v>2239</v>
      </c>
      <c r="Z1062" s="6">
        <v>16692.34</v>
      </c>
      <c r="AA1062" s="6">
        <v>200308.08</v>
      </c>
      <c r="AB1062" s="4" t="s">
        <v>2232</v>
      </c>
      <c r="AC1062" s="7" t="s">
        <v>2224</v>
      </c>
    </row>
    <row r="1063" spans="1:29" ht="15" customHeight="1" collapsed="1" thickBot="1" x14ac:dyDescent="0.3">
      <c r="A1063" s="20" t="str">
        <f>CONCATENATE("642"," - ","MISS", " ","Nompumelelo"," ", "Simelane")</f>
        <v>642 - MISS Nompumelelo Simelane</v>
      </c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2"/>
    </row>
    <row r="1064" spans="1:29" ht="15" hidden="1" customHeight="1" outlineLevel="1" thickBot="1" x14ac:dyDescent="0.3">
      <c r="A1064" s="4" t="s">
        <v>3849</v>
      </c>
      <c r="B1064" s="4" t="s">
        <v>286</v>
      </c>
      <c r="C1064" s="4" t="s">
        <v>2220</v>
      </c>
      <c r="D1064" s="5">
        <v>42962.461805555555</v>
      </c>
      <c r="E1064" s="4" t="s">
        <v>2221</v>
      </c>
      <c r="F1064" s="4" t="s">
        <v>2222</v>
      </c>
      <c r="G1064" s="4" t="s">
        <v>2234</v>
      </c>
      <c r="H1064" s="4" t="s">
        <v>1203</v>
      </c>
      <c r="I1064" s="4" t="s">
        <v>1324</v>
      </c>
      <c r="J1064" s="4" t="s">
        <v>1323</v>
      </c>
      <c r="K1064" s="5">
        <v>32012</v>
      </c>
      <c r="L1064" s="4" t="s">
        <v>3850</v>
      </c>
      <c r="M1064" s="4" t="s">
        <v>9</v>
      </c>
      <c r="N1064" s="5">
        <v>40832</v>
      </c>
      <c r="O1064" s="5" t="s">
        <v>2224</v>
      </c>
      <c r="P1064" s="4" t="s">
        <v>2224</v>
      </c>
      <c r="Q1064" s="4" t="s">
        <v>3331</v>
      </c>
      <c r="R1064" s="4" t="s">
        <v>2226</v>
      </c>
      <c r="S1064" s="4" t="s">
        <v>2227</v>
      </c>
      <c r="T1064" s="4" t="s">
        <v>2228</v>
      </c>
      <c r="U1064" s="4" t="s">
        <v>2229</v>
      </c>
      <c r="V1064" s="4" t="s">
        <v>25</v>
      </c>
      <c r="W1064" s="4" t="s">
        <v>2278</v>
      </c>
      <c r="X1064" s="4" t="s">
        <v>2224</v>
      </c>
      <c r="Y1064" s="4" t="s">
        <v>2384</v>
      </c>
      <c r="Z1064" s="6">
        <v>16900.990000000002</v>
      </c>
      <c r="AA1064" s="6">
        <v>202811.88</v>
      </c>
      <c r="AB1064" s="4" t="s">
        <v>2232</v>
      </c>
      <c r="AC1064" s="7" t="s">
        <v>2224</v>
      </c>
    </row>
    <row r="1065" spans="1:29" ht="15" customHeight="1" collapsed="1" thickBot="1" x14ac:dyDescent="0.3">
      <c r="A1065" s="20" t="str">
        <f>CONCATENATE("643"," - ","MR", " ","Kevin"," ", "Simmonds")</f>
        <v>643 - MR Kevin Simmonds</v>
      </c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2"/>
    </row>
    <row r="1066" spans="1:29" ht="15" hidden="1" customHeight="1" outlineLevel="1" thickBot="1" x14ac:dyDescent="0.3">
      <c r="A1066" s="4" t="s">
        <v>3851</v>
      </c>
      <c r="B1066" s="4" t="s">
        <v>313</v>
      </c>
      <c r="C1066" s="4" t="s">
        <v>2220</v>
      </c>
      <c r="D1066" s="5">
        <v>42963.285416666666</v>
      </c>
      <c r="E1066" s="4" t="s">
        <v>2221</v>
      </c>
      <c r="F1066" s="4" t="s">
        <v>2222</v>
      </c>
      <c r="G1066" s="4" t="s">
        <v>2014</v>
      </c>
      <c r="H1066" s="4" t="s">
        <v>1370</v>
      </c>
      <c r="I1066" s="4" t="s">
        <v>1314</v>
      </c>
      <c r="J1066" s="4" t="s">
        <v>1369</v>
      </c>
      <c r="K1066" s="5">
        <v>29661</v>
      </c>
      <c r="L1066" s="4" t="s">
        <v>3852</v>
      </c>
      <c r="M1066" s="4" t="s">
        <v>9</v>
      </c>
      <c r="N1066" s="5">
        <v>41183</v>
      </c>
      <c r="O1066" s="5" t="s">
        <v>2224</v>
      </c>
      <c r="P1066" s="4" t="s">
        <v>2224</v>
      </c>
      <c r="Q1066" s="4" t="s">
        <v>3853</v>
      </c>
      <c r="R1066" s="4" t="s">
        <v>2226</v>
      </c>
      <c r="S1066" s="4" t="s">
        <v>2227</v>
      </c>
      <c r="T1066" s="4" t="s">
        <v>2228</v>
      </c>
      <c r="U1066" s="4" t="s">
        <v>2258</v>
      </c>
      <c r="V1066" s="4" t="s">
        <v>13</v>
      </c>
      <c r="W1066" s="4" t="s">
        <v>2249</v>
      </c>
      <c r="X1066" s="4" t="s">
        <v>2224</v>
      </c>
      <c r="Y1066" s="4" t="s">
        <v>2259</v>
      </c>
      <c r="Z1066" s="6">
        <v>123788.54</v>
      </c>
      <c r="AA1066" s="6">
        <v>1485462.48</v>
      </c>
      <c r="AB1066" s="4" t="s">
        <v>2232</v>
      </c>
      <c r="AC1066" s="7" t="s">
        <v>2224</v>
      </c>
    </row>
    <row r="1067" spans="1:29" ht="15" customHeight="1" collapsed="1" thickBot="1" x14ac:dyDescent="0.3">
      <c r="A1067" s="20" t="str">
        <f>CONCATENATE("645"," - ","MISS", " ","Roxanne"," ", "Singh")</f>
        <v>645 - MISS Roxanne Singh</v>
      </c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2"/>
    </row>
    <row r="1068" spans="1:29" ht="15" hidden="1" customHeight="1" outlineLevel="1" thickBot="1" x14ac:dyDescent="0.3">
      <c r="A1068" s="4" t="s">
        <v>3854</v>
      </c>
      <c r="B1068" s="4" t="s">
        <v>387</v>
      </c>
      <c r="C1068" s="4" t="s">
        <v>2220</v>
      </c>
      <c r="D1068" s="5">
        <v>42962.549999999996</v>
      </c>
      <c r="E1068" s="4" t="s">
        <v>2221</v>
      </c>
      <c r="F1068" s="4" t="s">
        <v>2222</v>
      </c>
      <c r="G1068" s="4" t="s">
        <v>2234</v>
      </c>
      <c r="H1068" s="4" t="s">
        <v>844</v>
      </c>
      <c r="I1068" s="4" t="s">
        <v>1437</v>
      </c>
      <c r="J1068" s="4" t="s">
        <v>1265</v>
      </c>
      <c r="K1068" s="5">
        <v>34723</v>
      </c>
      <c r="L1068" s="4" t="s">
        <v>3855</v>
      </c>
      <c r="M1068" s="4" t="s">
        <v>9</v>
      </c>
      <c r="N1068" s="5">
        <v>41465</v>
      </c>
      <c r="O1068" s="5" t="s">
        <v>2224</v>
      </c>
      <c r="P1068" s="4" t="s">
        <v>2224</v>
      </c>
      <c r="Q1068" s="4" t="s">
        <v>3856</v>
      </c>
      <c r="R1068" s="4" t="s">
        <v>2226</v>
      </c>
      <c r="S1068" s="4" t="s">
        <v>2227</v>
      </c>
      <c r="T1068" s="4" t="s">
        <v>2228</v>
      </c>
      <c r="U1068" s="4" t="s">
        <v>2237</v>
      </c>
      <c r="V1068" s="4" t="s">
        <v>125</v>
      </c>
      <c r="W1068" s="4" t="s">
        <v>2230</v>
      </c>
      <c r="X1068" s="4" t="s">
        <v>2224</v>
      </c>
      <c r="Y1068" s="4" t="s">
        <v>2239</v>
      </c>
      <c r="Z1068" s="6">
        <v>20646.896499999999</v>
      </c>
      <c r="AA1068" s="6">
        <v>247762.76</v>
      </c>
      <c r="AB1068" s="4" t="s">
        <v>2232</v>
      </c>
      <c r="AC1068" s="7" t="s">
        <v>2224</v>
      </c>
    </row>
    <row r="1069" spans="1:29" ht="15" customHeight="1" collapsed="1" thickBot="1" x14ac:dyDescent="0.3">
      <c r="A1069" s="20" t="str">
        <f>CONCATENATE("646"," - ","MS", " ","Taynita"," ", "Singh")</f>
        <v>646 - MS Taynita Singh</v>
      </c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2"/>
    </row>
    <row r="1070" spans="1:29" ht="15" hidden="1" customHeight="1" outlineLevel="1" thickBot="1" x14ac:dyDescent="0.3">
      <c r="A1070" s="4" t="s">
        <v>3857</v>
      </c>
      <c r="B1070" s="4" t="s">
        <v>614</v>
      </c>
      <c r="C1070" s="4" t="s">
        <v>2220</v>
      </c>
      <c r="D1070" s="5">
        <v>42962.549999999996</v>
      </c>
      <c r="E1070" s="4" t="s">
        <v>2221</v>
      </c>
      <c r="F1070" s="4" t="s">
        <v>2222</v>
      </c>
      <c r="G1070" s="4" t="s">
        <v>813</v>
      </c>
      <c r="H1070" s="4" t="s">
        <v>819</v>
      </c>
      <c r="I1070" s="4" t="s">
        <v>1927</v>
      </c>
      <c r="J1070" s="4" t="s">
        <v>1265</v>
      </c>
      <c r="K1070" s="5">
        <v>34993</v>
      </c>
      <c r="L1070" s="4" t="s">
        <v>3858</v>
      </c>
      <c r="M1070" s="4" t="s">
        <v>9</v>
      </c>
      <c r="N1070" s="5">
        <v>42275</v>
      </c>
      <c r="O1070" s="5" t="s">
        <v>2224</v>
      </c>
      <c r="P1070" s="4" t="s">
        <v>2224</v>
      </c>
      <c r="Q1070" s="4" t="s">
        <v>3859</v>
      </c>
      <c r="R1070" s="4" t="s">
        <v>2226</v>
      </c>
      <c r="S1070" s="4" t="s">
        <v>2227</v>
      </c>
      <c r="T1070" s="4" t="s">
        <v>2228</v>
      </c>
      <c r="U1070" s="4" t="s">
        <v>2237</v>
      </c>
      <c r="V1070" s="4" t="s">
        <v>8</v>
      </c>
      <c r="W1070" s="4" t="s">
        <v>2278</v>
      </c>
      <c r="X1070" s="4" t="s">
        <v>2224</v>
      </c>
      <c r="Y1070" s="4" t="s">
        <v>2239</v>
      </c>
      <c r="Z1070" s="6">
        <v>16081.7</v>
      </c>
      <c r="AA1070" s="6">
        <v>192980.4</v>
      </c>
      <c r="AB1070" s="4" t="s">
        <v>2232</v>
      </c>
      <c r="AC1070" s="7" t="s">
        <v>2224</v>
      </c>
    </row>
    <row r="1071" spans="1:29" ht="15" customHeight="1" collapsed="1" thickBot="1" x14ac:dyDescent="0.3">
      <c r="A1071" s="20" t="str">
        <f>CONCATENATE("647"," - ","MR", " ","Vinesh"," ", "Singh")</f>
        <v>647 - MR Vinesh Singh</v>
      </c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2"/>
    </row>
    <row r="1072" spans="1:29" ht="15" hidden="1" customHeight="1" outlineLevel="1" thickBot="1" x14ac:dyDescent="0.3">
      <c r="A1072" s="4" t="s">
        <v>3860</v>
      </c>
      <c r="B1072" s="4" t="s">
        <v>255</v>
      </c>
      <c r="C1072" s="4" t="s">
        <v>2220</v>
      </c>
      <c r="D1072" s="5">
        <v>42962.461111111108</v>
      </c>
      <c r="E1072" s="4" t="s">
        <v>2221</v>
      </c>
      <c r="F1072" s="4" t="s">
        <v>2222</v>
      </c>
      <c r="G1072" s="4" t="s">
        <v>2014</v>
      </c>
      <c r="H1072" s="4" t="s">
        <v>907</v>
      </c>
      <c r="I1072" s="4" t="s">
        <v>1266</v>
      </c>
      <c r="J1072" s="4" t="s">
        <v>1265</v>
      </c>
      <c r="K1072" s="5">
        <v>28016</v>
      </c>
      <c r="L1072" s="4" t="s">
        <v>3861</v>
      </c>
      <c r="M1072" s="4" t="s">
        <v>9</v>
      </c>
      <c r="N1072" s="5">
        <v>40544</v>
      </c>
      <c r="O1072" s="5" t="s">
        <v>2224</v>
      </c>
      <c r="P1072" s="4" t="s">
        <v>2224</v>
      </c>
      <c r="Q1072" s="4" t="s">
        <v>3340</v>
      </c>
      <c r="R1072" s="4" t="s">
        <v>2226</v>
      </c>
      <c r="S1072" s="4" t="s">
        <v>2227</v>
      </c>
      <c r="T1072" s="4" t="s">
        <v>2228</v>
      </c>
      <c r="U1072" s="4" t="s">
        <v>2229</v>
      </c>
      <c r="V1072" s="4" t="s">
        <v>25</v>
      </c>
      <c r="W1072" s="4" t="s">
        <v>2278</v>
      </c>
      <c r="X1072" s="4" t="s">
        <v>2224</v>
      </c>
      <c r="Y1072" s="4" t="s">
        <v>2394</v>
      </c>
      <c r="Z1072" s="6">
        <v>16900.989099999999</v>
      </c>
      <c r="AA1072" s="6">
        <v>202811.87</v>
      </c>
      <c r="AB1072" s="4" t="s">
        <v>2232</v>
      </c>
      <c r="AC1072" s="7" t="s">
        <v>2224</v>
      </c>
    </row>
    <row r="1073" spans="1:29" ht="15" customHeight="1" collapsed="1" thickBot="1" x14ac:dyDescent="0.3">
      <c r="A1073" s="20" t="str">
        <f>CONCATENATE("649"," - ","MS", " ","Mavis"," ", "Sithole")</f>
        <v>649 - MS Mavis Sithole</v>
      </c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2"/>
    </row>
    <row r="1074" spans="1:29" ht="15" hidden="1" customHeight="1" outlineLevel="1" thickBot="1" x14ac:dyDescent="0.3">
      <c r="A1074" s="4" t="s">
        <v>3862</v>
      </c>
      <c r="B1074" s="4" t="s">
        <v>627</v>
      </c>
      <c r="C1074" s="4" t="s">
        <v>2220</v>
      </c>
      <c r="D1074" s="5">
        <v>42962.461805555555</v>
      </c>
      <c r="E1074" s="4" t="s">
        <v>2221</v>
      </c>
      <c r="F1074" s="4" t="s">
        <v>2222</v>
      </c>
      <c r="G1074" s="4" t="s">
        <v>813</v>
      </c>
      <c r="H1074" s="4" t="s">
        <v>788</v>
      </c>
      <c r="I1074" s="4" t="s">
        <v>1949</v>
      </c>
      <c r="J1074" s="4" t="s">
        <v>1368</v>
      </c>
      <c r="K1074" s="5">
        <v>30404</v>
      </c>
      <c r="L1074" s="4" t="s">
        <v>3863</v>
      </c>
      <c r="M1074" s="4" t="s">
        <v>9</v>
      </c>
      <c r="N1074" s="5">
        <v>42583</v>
      </c>
      <c r="O1074" s="5" t="s">
        <v>2224</v>
      </c>
      <c r="P1074" s="4" t="s">
        <v>2224</v>
      </c>
      <c r="Q1074" s="4" t="s">
        <v>3120</v>
      </c>
      <c r="R1074" s="4" t="s">
        <v>2226</v>
      </c>
      <c r="S1074" s="4" t="s">
        <v>2227</v>
      </c>
      <c r="T1074" s="4" t="s">
        <v>2228</v>
      </c>
      <c r="U1074" s="4" t="s">
        <v>2229</v>
      </c>
      <c r="V1074" s="4" t="s">
        <v>25</v>
      </c>
      <c r="W1074" s="4" t="s">
        <v>2278</v>
      </c>
      <c r="X1074" s="4" t="s">
        <v>2224</v>
      </c>
      <c r="Y1074" s="4" t="s">
        <v>2449</v>
      </c>
      <c r="Z1074" s="6">
        <v>10577.9308</v>
      </c>
      <c r="AA1074" s="6">
        <v>126935.17</v>
      </c>
      <c r="AB1074" s="4" t="s">
        <v>2232</v>
      </c>
      <c r="AC1074" s="7" t="s">
        <v>2224</v>
      </c>
    </row>
    <row r="1075" spans="1:29" ht="15" customHeight="1" collapsed="1" thickBot="1" x14ac:dyDescent="0.3">
      <c r="A1075" s="20" t="str">
        <f>CONCATENATE("65"," - ","MISS", " ","Roxanne"," ", "Booysen")</f>
        <v>65 - MISS Roxanne Booysen</v>
      </c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2"/>
    </row>
    <row r="1076" spans="1:29" ht="15" hidden="1" customHeight="1" outlineLevel="1" thickBot="1" x14ac:dyDescent="0.3">
      <c r="A1076" s="4" t="s">
        <v>3864</v>
      </c>
      <c r="B1076" s="4" t="s">
        <v>374</v>
      </c>
      <c r="C1076" s="4" t="s">
        <v>2220</v>
      </c>
      <c r="D1076" s="5">
        <v>42962.538888888885</v>
      </c>
      <c r="E1076" s="4" t="s">
        <v>2221</v>
      </c>
      <c r="F1076" s="4" t="s">
        <v>2222</v>
      </c>
      <c r="G1076" s="4" t="s">
        <v>2234</v>
      </c>
      <c r="H1076" s="4" t="s">
        <v>844</v>
      </c>
      <c r="I1076" s="4" t="s">
        <v>1437</v>
      </c>
      <c r="J1076" s="4" t="s">
        <v>1479</v>
      </c>
      <c r="K1076" s="5">
        <v>33846</v>
      </c>
      <c r="L1076" s="4" t="s">
        <v>3865</v>
      </c>
      <c r="M1076" s="4" t="s">
        <v>9</v>
      </c>
      <c r="N1076" s="5">
        <v>41373</v>
      </c>
      <c r="O1076" s="5" t="s">
        <v>2224</v>
      </c>
      <c r="P1076" s="4" t="s">
        <v>2224</v>
      </c>
      <c r="Q1076" s="4" t="s">
        <v>2224</v>
      </c>
      <c r="R1076" s="4" t="s">
        <v>2226</v>
      </c>
      <c r="S1076" s="4" t="s">
        <v>2227</v>
      </c>
      <c r="T1076" s="4" t="s">
        <v>2228</v>
      </c>
      <c r="U1076" s="4" t="s">
        <v>2237</v>
      </c>
      <c r="V1076" s="4" t="s">
        <v>8</v>
      </c>
      <c r="W1076" s="4" t="s">
        <v>2278</v>
      </c>
      <c r="X1076" s="4" t="s">
        <v>2224</v>
      </c>
      <c r="Y1076" s="4" t="s">
        <v>2239</v>
      </c>
      <c r="Z1076" s="6">
        <v>16692.34</v>
      </c>
      <c r="AA1076" s="6">
        <v>200308.08</v>
      </c>
      <c r="AB1076" s="4" t="s">
        <v>2232</v>
      </c>
      <c r="AC1076" s="7" t="s">
        <v>2224</v>
      </c>
    </row>
    <row r="1077" spans="1:29" ht="15" customHeight="1" collapsed="1" thickBot="1" x14ac:dyDescent="0.3">
      <c r="A1077" s="20" t="str">
        <f>CONCATENATE("650"," - ","MR", " ","Muller"," ", "Sithole")</f>
        <v>650 - MR Muller Sithole</v>
      </c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2"/>
    </row>
    <row r="1078" spans="1:29" ht="15" hidden="1" customHeight="1" outlineLevel="1" thickBot="1" x14ac:dyDescent="0.3">
      <c r="A1078" s="4" t="s">
        <v>3866</v>
      </c>
      <c r="B1078" s="4" t="s">
        <v>312</v>
      </c>
      <c r="C1078" s="4" t="s">
        <v>2220</v>
      </c>
      <c r="D1078" s="5">
        <v>42962.462500000001</v>
      </c>
      <c r="E1078" s="4" t="s">
        <v>2221</v>
      </c>
      <c r="F1078" s="4" t="s">
        <v>2222</v>
      </c>
      <c r="G1078" s="4" t="s">
        <v>2014</v>
      </c>
      <c r="H1078" s="4" t="s">
        <v>788</v>
      </c>
      <c r="I1078" s="4" t="s">
        <v>1293</v>
      </c>
      <c r="J1078" s="4" t="s">
        <v>1368</v>
      </c>
      <c r="K1078" s="5">
        <v>33749</v>
      </c>
      <c r="L1078" s="4" t="s">
        <v>3867</v>
      </c>
      <c r="M1078" s="4" t="s">
        <v>9</v>
      </c>
      <c r="N1078" s="5">
        <v>41141</v>
      </c>
      <c r="O1078" s="5" t="s">
        <v>2224</v>
      </c>
      <c r="P1078" s="4" t="s">
        <v>2224</v>
      </c>
      <c r="Q1078" s="4" t="s">
        <v>2860</v>
      </c>
      <c r="R1078" s="4" t="s">
        <v>2226</v>
      </c>
      <c r="S1078" s="4" t="s">
        <v>2227</v>
      </c>
      <c r="T1078" s="4" t="s">
        <v>2228</v>
      </c>
      <c r="U1078" s="4" t="s">
        <v>2229</v>
      </c>
      <c r="V1078" s="4" t="s">
        <v>116</v>
      </c>
      <c r="W1078" s="4" t="s">
        <v>2249</v>
      </c>
      <c r="X1078" s="4" t="s">
        <v>2224</v>
      </c>
      <c r="Y1078" s="4" t="s">
        <v>2549</v>
      </c>
      <c r="Z1078" s="6">
        <v>27666.338100000001</v>
      </c>
      <c r="AA1078" s="6">
        <v>331996.06</v>
      </c>
      <c r="AB1078" s="4" t="s">
        <v>2232</v>
      </c>
      <c r="AC1078" s="7" t="s">
        <v>2224</v>
      </c>
    </row>
    <row r="1079" spans="1:29" ht="15" customHeight="1" collapsed="1" thickBot="1" x14ac:dyDescent="0.3">
      <c r="A1079" s="20" t="str">
        <f>CONCATENATE("651"," - ","MR", " ","Bafana"," ", "Skosana")</f>
        <v>651 - MR Bafana Skosana</v>
      </c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2"/>
    </row>
    <row r="1080" spans="1:29" ht="15" hidden="1" customHeight="1" outlineLevel="1" thickBot="1" x14ac:dyDescent="0.3">
      <c r="A1080" s="4" t="s">
        <v>3868</v>
      </c>
      <c r="B1080" s="4" t="s">
        <v>310</v>
      </c>
      <c r="C1080" s="4" t="s">
        <v>2220</v>
      </c>
      <c r="D1080" s="5">
        <v>42962.462500000001</v>
      </c>
      <c r="E1080" s="4" t="s">
        <v>2221</v>
      </c>
      <c r="F1080" s="4" t="s">
        <v>2222</v>
      </c>
      <c r="G1080" s="4" t="s">
        <v>2014</v>
      </c>
      <c r="H1080" s="4" t="s">
        <v>1363</v>
      </c>
      <c r="I1080" s="4" t="s">
        <v>1364</v>
      </c>
      <c r="J1080" s="4" t="s">
        <v>899</v>
      </c>
      <c r="K1080" s="5">
        <v>27842</v>
      </c>
      <c r="L1080" s="4" t="s">
        <v>3869</v>
      </c>
      <c r="M1080" s="4" t="s">
        <v>9</v>
      </c>
      <c r="N1080" s="5">
        <v>41122</v>
      </c>
      <c r="O1080" s="5" t="s">
        <v>2224</v>
      </c>
      <c r="P1080" s="4" t="s">
        <v>2224</v>
      </c>
      <c r="Q1080" s="4" t="s">
        <v>3305</v>
      </c>
      <c r="R1080" s="4" t="s">
        <v>2226</v>
      </c>
      <c r="S1080" s="4" t="s">
        <v>2227</v>
      </c>
      <c r="T1080" s="4" t="s">
        <v>2228</v>
      </c>
      <c r="U1080" s="4" t="s">
        <v>2248</v>
      </c>
      <c r="V1080" s="4" t="s">
        <v>284</v>
      </c>
      <c r="W1080" s="4" t="s">
        <v>2249</v>
      </c>
      <c r="X1080" s="4" t="s">
        <v>2224</v>
      </c>
      <c r="Y1080" s="4" t="s">
        <v>2909</v>
      </c>
      <c r="Z1080" s="6">
        <v>97643.541899999997</v>
      </c>
      <c r="AA1080" s="6">
        <v>1171722.5</v>
      </c>
      <c r="AB1080" s="4" t="s">
        <v>2232</v>
      </c>
      <c r="AC1080" s="7" t="s">
        <v>2224</v>
      </c>
    </row>
    <row r="1081" spans="1:29" ht="15" customHeight="1" collapsed="1" thickBot="1" x14ac:dyDescent="0.3">
      <c r="A1081" s="20" t="str">
        <f>CONCATENATE("652"," - ","MRS", " ","Paseka"," ", "Skosana")</f>
        <v>652 - MRS Paseka Skosana</v>
      </c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2"/>
    </row>
    <row r="1082" spans="1:29" ht="15" hidden="1" customHeight="1" outlineLevel="1" thickBot="1" x14ac:dyDescent="0.3">
      <c r="A1082" s="4" t="s">
        <v>3870</v>
      </c>
      <c r="B1082" s="4" t="s">
        <v>71</v>
      </c>
      <c r="C1082" s="4" t="s">
        <v>2220</v>
      </c>
      <c r="D1082" s="5">
        <v>42962.462500000001</v>
      </c>
      <c r="E1082" s="4" t="s">
        <v>2221</v>
      </c>
      <c r="F1082" s="4" t="s">
        <v>2222</v>
      </c>
      <c r="G1082" s="4" t="s">
        <v>2280</v>
      </c>
      <c r="H1082" s="4" t="s">
        <v>781</v>
      </c>
      <c r="I1082" s="4" t="s">
        <v>900</v>
      </c>
      <c r="J1082" s="4" t="s">
        <v>899</v>
      </c>
      <c r="K1082" s="5">
        <v>29315</v>
      </c>
      <c r="L1082" s="4" t="s">
        <v>3871</v>
      </c>
      <c r="M1082" s="4" t="s">
        <v>9</v>
      </c>
      <c r="N1082" s="5">
        <v>39006</v>
      </c>
      <c r="O1082" s="5" t="s">
        <v>2224</v>
      </c>
      <c r="P1082" s="4" t="s">
        <v>2224</v>
      </c>
      <c r="Q1082" s="4" t="s">
        <v>2530</v>
      </c>
      <c r="R1082" s="4" t="s">
        <v>2226</v>
      </c>
      <c r="S1082" s="4" t="s">
        <v>2227</v>
      </c>
      <c r="T1082" s="4" t="s">
        <v>2228</v>
      </c>
      <c r="U1082" s="4" t="s">
        <v>2248</v>
      </c>
      <c r="V1082" s="4" t="s">
        <v>25</v>
      </c>
      <c r="W1082" s="4" t="s">
        <v>2278</v>
      </c>
      <c r="X1082" s="4" t="s">
        <v>2224</v>
      </c>
      <c r="Y1082" s="4" t="s">
        <v>2609</v>
      </c>
      <c r="Z1082" s="6">
        <v>17112.2621</v>
      </c>
      <c r="AA1082" s="6">
        <v>205347.15</v>
      </c>
      <c r="AB1082" s="4" t="s">
        <v>2232</v>
      </c>
      <c r="AC1082" s="7" t="s">
        <v>2224</v>
      </c>
    </row>
    <row r="1083" spans="1:29" ht="15" customHeight="1" collapsed="1" thickBot="1" x14ac:dyDescent="0.3">
      <c r="A1083" s="20" t="str">
        <f>CONCATENATE("654"," - ","MRS", " ","Chantal"," ", "Smith")</f>
        <v>654 - MRS Chantal Smith</v>
      </c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2"/>
    </row>
    <row r="1084" spans="1:29" ht="15" hidden="1" customHeight="1" outlineLevel="1" thickBot="1" x14ac:dyDescent="0.3">
      <c r="A1084" s="4" t="s">
        <v>3872</v>
      </c>
      <c r="B1084" s="4" t="s">
        <v>244</v>
      </c>
      <c r="C1084" s="4" t="s">
        <v>2220</v>
      </c>
      <c r="D1084" s="5">
        <v>42962.536111111112</v>
      </c>
      <c r="E1084" s="4" t="s">
        <v>2221</v>
      </c>
      <c r="F1084" s="4" t="s">
        <v>2222</v>
      </c>
      <c r="G1084" s="4" t="s">
        <v>2280</v>
      </c>
      <c r="H1084" s="4" t="s">
        <v>1069</v>
      </c>
      <c r="I1084" s="4" t="s">
        <v>1246</v>
      </c>
      <c r="J1084" s="4" t="s">
        <v>1161</v>
      </c>
      <c r="K1084" s="5">
        <v>29862</v>
      </c>
      <c r="L1084" s="4" t="s">
        <v>3873</v>
      </c>
      <c r="M1084" s="4" t="s">
        <v>9</v>
      </c>
      <c r="N1084" s="5">
        <v>40471</v>
      </c>
      <c r="O1084" s="5" t="s">
        <v>2224</v>
      </c>
      <c r="P1084" s="4" t="s">
        <v>2224</v>
      </c>
      <c r="Q1084" s="4" t="s">
        <v>3874</v>
      </c>
      <c r="R1084" s="4" t="s">
        <v>2226</v>
      </c>
      <c r="S1084" s="4" t="s">
        <v>2227</v>
      </c>
      <c r="T1084" s="4" t="s">
        <v>2228</v>
      </c>
      <c r="U1084" s="4" t="s">
        <v>2237</v>
      </c>
      <c r="V1084" s="4" t="s">
        <v>8</v>
      </c>
      <c r="W1084" s="4" t="s">
        <v>2238</v>
      </c>
      <c r="X1084" s="4" t="s">
        <v>2224</v>
      </c>
      <c r="Y1084" s="4" t="s">
        <v>2239</v>
      </c>
      <c r="Z1084" s="6">
        <v>17112.25</v>
      </c>
      <c r="AA1084" s="6">
        <v>205347</v>
      </c>
      <c r="AB1084" s="4" t="s">
        <v>2232</v>
      </c>
      <c r="AC1084" s="7" t="s">
        <v>2224</v>
      </c>
    </row>
    <row r="1085" spans="1:29" ht="15" customHeight="1" collapsed="1" thickBot="1" x14ac:dyDescent="0.3">
      <c r="A1085" s="20" t="str">
        <f>CONCATENATE("655"," - ","MR", " ","Gregory"," ", "Smith")</f>
        <v>655 - MR Gregory Smith</v>
      </c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2"/>
    </row>
    <row r="1086" spans="1:29" ht="15" hidden="1" customHeight="1" outlineLevel="1" thickBot="1" x14ac:dyDescent="0.3">
      <c r="A1086" s="4" t="s">
        <v>3875</v>
      </c>
      <c r="B1086" s="4" t="s">
        <v>205</v>
      </c>
      <c r="C1086" s="4" t="s">
        <v>2220</v>
      </c>
      <c r="D1086" s="5">
        <v>42963.279861111107</v>
      </c>
      <c r="E1086" s="4" t="s">
        <v>2221</v>
      </c>
      <c r="F1086" s="4" t="s">
        <v>2222</v>
      </c>
      <c r="G1086" s="4" t="s">
        <v>2014</v>
      </c>
      <c r="H1086" s="4" t="s">
        <v>1162</v>
      </c>
      <c r="I1086" s="4" t="s">
        <v>1163</v>
      </c>
      <c r="J1086" s="4" t="s">
        <v>1161</v>
      </c>
      <c r="K1086" s="5">
        <v>30651</v>
      </c>
      <c r="L1086" s="4" t="s">
        <v>3876</v>
      </c>
      <c r="M1086" s="4" t="s">
        <v>9</v>
      </c>
      <c r="N1086" s="5">
        <v>39630</v>
      </c>
      <c r="O1086" s="5" t="s">
        <v>2224</v>
      </c>
      <c r="P1086" s="4" t="s">
        <v>2224</v>
      </c>
      <c r="Q1086" s="4" t="s">
        <v>3053</v>
      </c>
      <c r="R1086" s="4" t="s">
        <v>2226</v>
      </c>
      <c r="S1086" s="4" t="s">
        <v>2227</v>
      </c>
      <c r="T1086" s="4" t="s">
        <v>2228</v>
      </c>
      <c r="U1086" s="4" t="s">
        <v>2258</v>
      </c>
      <c r="V1086" s="4" t="s">
        <v>13</v>
      </c>
      <c r="W1086" s="4" t="s">
        <v>2249</v>
      </c>
      <c r="X1086" s="4" t="s">
        <v>2224</v>
      </c>
      <c r="Y1086" s="4" t="s">
        <v>2259</v>
      </c>
      <c r="Z1086" s="6">
        <v>111990.9564</v>
      </c>
      <c r="AA1086" s="6">
        <v>1343891.48</v>
      </c>
      <c r="AB1086" s="4" t="s">
        <v>2232</v>
      </c>
      <c r="AC1086" s="7" t="s">
        <v>2224</v>
      </c>
    </row>
    <row r="1087" spans="1:29" ht="15" customHeight="1" collapsed="1" thickBot="1" x14ac:dyDescent="0.3">
      <c r="A1087" s="20" t="str">
        <f>CONCATENATE("656"," - ","MR", " ","Henry"," ", "Smith")</f>
        <v>656 - MR Henry Smith</v>
      </c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2"/>
    </row>
    <row r="1088" spans="1:29" ht="15" hidden="1" customHeight="1" outlineLevel="1" thickBot="1" x14ac:dyDescent="0.3">
      <c r="A1088" s="4" t="s">
        <v>3877</v>
      </c>
      <c r="B1088" s="4" t="s">
        <v>606</v>
      </c>
      <c r="C1088" s="4" t="s">
        <v>2220</v>
      </c>
      <c r="D1088" s="5">
        <v>42962.462500000001</v>
      </c>
      <c r="E1088" s="4" t="s">
        <v>2221</v>
      </c>
      <c r="F1088" s="4" t="s">
        <v>2222</v>
      </c>
      <c r="G1088" s="4" t="s">
        <v>2014</v>
      </c>
      <c r="H1088" s="4" t="s">
        <v>1916</v>
      </c>
      <c r="I1088" s="4" t="s">
        <v>1917</v>
      </c>
      <c r="J1088" s="4" t="s">
        <v>1161</v>
      </c>
      <c r="K1088" s="5">
        <v>23974</v>
      </c>
      <c r="L1088" s="4" t="s">
        <v>3878</v>
      </c>
      <c r="M1088" s="4" t="s">
        <v>9</v>
      </c>
      <c r="N1088" s="5">
        <v>42217</v>
      </c>
      <c r="O1088" s="5" t="s">
        <v>2224</v>
      </c>
      <c r="P1088" s="4" t="s">
        <v>2224</v>
      </c>
      <c r="Q1088" s="4" t="s">
        <v>3773</v>
      </c>
      <c r="R1088" s="4" t="s">
        <v>2226</v>
      </c>
      <c r="S1088" s="4" t="s">
        <v>2227</v>
      </c>
      <c r="T1088" s="4" t="s">
        <v>2228</v>
      </c>
      <c r="U1088" s="4" t="s">
        <v>2248</v>
      </c>
      <c r="V1088" s="4" t="s">
        <v>467</v>
      </c>
      <c r="W1088" s="4" t="s">
        <v>2249</v>
      </c>
      <c r="X1088" s="4" t="s">
        <v>2224</v>
      </c>
      <c r="Y1088" s="4" t="s">
        <v>2254</v>
      </c>
      <c r="Z1088" s="6">
        <v>77821.8</v>
      </c>
      <c r="AA1088" s="6">
        <v>933861.6</v>
      </c>
      <c r="AB1088" s="4" t="s">
        <v>2232</v>
      </c>
      <c r="AC1088" s="7" t="s">
        <v>2224</v>
      </c>
    </row>
    <row r="1089" spans="1:29" ht="15" customHeight="1" collapsed="1" thickBot="1" x14ac:dyDescent="0.3">
      <c r="A1089" s="20" t="str">
        <f>CONCATENATE("657"," - ","MS", " ","Keagan"," ", "Smith")</f>
        <v>657 - MS Keagan Smith</v>
      </c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2"/>
    </row>
    <row r="1090" spans="1:29" ht="15" hidden="1" customHeight="1" outlineLevel="1" thickBot="1" x14ac:dyDescent="0.3">
      <c r="A1090" s="4" t="s">
        <v>3879</v>
      </c>
      <c r="B1090" s="4" t="s">
        <v>644</v>
      </c>
      <c r="C1090" s="4" t="s">
        <v>2220</v>
      </c>
      <c r="D1090" s="5">
        <v>42962.549999999996</v>
      </c>
      <c r="E1090" s="4" t="s">
        <v>2221</v>
      </c>
      <c r="F1090" s="4" t="s">
        <v>2222</v>
      </c>
      <c r="G1090" s="4" t="s">
        <v>813</v>
      </c>
      <c r="H1090" s="4" t="s">
        <v>1329</v>
      </c>
      <c r="I1090" s="4" t="s">
        <v>1973</v>
      </c>
      <c r="J1090" s="4" t="s">
        <v>1161</v>
      </c>
      <c r="K1090" s="5">
        <v>31151</v>
      </c>
      <c r="L1090" s="4" t="s">
        <v>3880</v>
      </c>
      <c r="M1090" s="4" t="s">
        <v>9</v>
      </c>
      <c r="N1090" s="5">
        <v>42332</v>
      </c>
      <c r="O1090" s="5">
        <v>42950</v>
      </c>
      <c r="P1090" s="4" t="s">
        <v>3881</v>
      </c>
      <c r="Q1090" s="4" t="s">
        <v>3882</v>
      </c>
      <c r="R1090" s="4" t="s">
        <v>2226</v>
      </c>
      <c r="S1090" s="4" t="s">
        <v>2227</v>
      </c>
      <c r="T1090" s="4" t="s">
        <v>2228</v>
      </c>
      <c r="U1090" s="4" t="s">
        <v>2237</v>
      </c>
      <c r="V1090" s="4" t="s">
        <v>125</v>
      </c>
      <c r="W1090" s="4" t="s">
        <v>2278</v>
      </c>
      <c r="X1090" s="4" t="s">
        <v>2224</v>
      </c>
      <c r="Y1090" s="4" t="s">
        <v>2224</v>
      </c>
      <c r="Z1090" s="6">
        <v>16081.7</v>
      </c>
      <c r="AA1090" s="6">
        <v>192980.4</v>
      </c>
      <c r="AB1090" s="4" t="s">
        <v>2232</v>
      </c>
      <c r="AC1090" s="7" t="s">
        <v>2224</v>
      </c>
    </row>
    <row r="1091" spans="1:29" ht="15" customHeight="1" collapsed="1" thickBot="1" x14ac:dyDescent="0.3">
      <c r="A1091" s="20" t="str">
        <f>CONCATENATE("658"," - ","MR", " ","Malcolm"," ", "Smith")</f>
        <v>658 - MR Malcolm Smith</v>
      </c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2"/>
    </row>
    <row r="1092" spans="1:29" ht="15" hidden="1" customHeight="1" outlineLevel="1" thickBot="1" x14ac:dyDescent="0.3">
      <c r="A1092" s="4" t="s">
        <v>3883</v>
      </c>
      <c r="B1092" s="4" t="s">
        <v>296</v>
      </c>
      <c r="C1092" s="4" t="s">
        <v>2220</v>
      </c>
      <c r="D1092" s="5">
        <v>42951.398611111108</v>
      </c>
      <c r="E1092" s="4" t="s">
        <v>2221</v>
      </c>
      <c r="F1092" s="4" t="s">
        <v>2222</v>
      </c>
      <c r="G1092" s="4" t="s">
        <v>2014</v>
      </c>
      <c r="H1092" s="4" t="s">
        <v>788</v>
      </c>
      <c r="I1092" s="4" t="s">
        <v>1342</v>
      </c>
      <c r="J1092" s="4" t="s">
        <v>1161</v>
      </c>
      <c r="K1092" s="5">
        <v>30442</v>
      </c>
      <c r="L1092" s="4" t="s">
        <v>3884</v>
      </c>
      <c r="M1092" s="4" t="s">
        <v>9</v>
      </c>
      <c r="N1092" s="5">
        <v>40969</v>
      </c>
      <c r="O1092" s="5" t="s">
        <v>2224</v>
      </c>
      <c r="P1092" s="4" t="s">
        <v>2224</v>
      </c>
      <c r="Q1092" s="4" t="s">
        <v>3885</v>
      </c>
      <c r="R1092" s="4" t="s">
        <v>2226</v>
      </c>
      <c r="S1092" s="4" t="s">
        <v>2227</v>
      </c>
      <c r="T1092" s="4" t="s">
        <v>2228</v>
      </c>
      <c r="U1092" s="4" t="s">
        <v>2248</v>
      </c>
      <c r="V1092" s="4" t="s">
        <v>297</v>
      </c>
      <c r="W1092" s="4" t="s">
        <v>2249</v>
      </c>
      <c r="X1092" s="4" t="s">
        <v>2224</v>
      </c>
      <c r="Y1092" s="4" t="s">
        <v>2597</v>
      </c>
      <c r="Z1092" s="6">
        <v>39389</v>
      </c>
      <c r="AA1092" s="6">
        <v>472668</v>
      </c>
      <c r="AB1092" s="4" t="s">
        <v>2232</v>
      </c>
      <c r="AC1092" s="7" t="s">
        <v>2224</v>
      </c>
    </row>
    <row r="1093" spans="1:29" ht="15" customHeight="1" collapsed="1" thickBot="1" x14ac:dyDescent="0.3">
      <c r="A1093" s="20" t="str">
        <f>CONCATENATE("66"," - ","MR", " ","Ashwin"," ", "Bosman")</f>
        <v>66 - MR Ashwin Bosman</v>
      </c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2"/>
    </row>
    <row r="1094" spans="1:29" ht="15" hidden="1" customHeight="1" outlineLevel="1" thickBot="1" x14ac:dyDescent="0.3">
      <c r="A1094" s="4" t="s">
        <v>3886</v>
      </c>
      <c r="B1094" s="4" t="s">
        <v>691</v>
      </c>
      <c r="C1094" s="4" t="s">
        <v>2220</v>
      </c>
      <c r="D1094" s="5">
        <v>42962.549999999996</v>
      </c>
      <c r="E1094" s="4" t="s">
        <v>2221</v>
      </c>
      <c r="F1094" s="4" t="s">
        <v>2222</v>
      </c>
      <c r="G1094" s="4" t="s">
        <v>2014</v>
      </c>
      <c r="H1094" s="4" t="s">
        <v>2050</v>
      </c>
      <c r="I1094" s="4" t="s">
        <v>2051</v>
      </c>
      <c r="J1094" s="4" t="s">
        <v>2049</v>
      </c>
      <c r="K1094" s="5">
        <v>34209</v>
      </c>
      <c r="L1094" s="4" t="s">
        <v>3887</v>
      </c>
      <c r="M1094" s="4" t="s">
        <v>9</v>
      </c>
      <c r="N1094" s="5">
        <v>42494</v>
      </c>
      <c r="O1094" s="5" t="s">
        <v>2224</v>
      </c>
      <c r="P1094" s="4" t="s">
        <v>2224</v>
      </c>
      <c r="Q1094" s="4" t="s">
        <v>3888</v>
      </c>
      <c r="R1094" s="4" t="s">
        <v>2226</v>
      </c>
      <c r="S1094" s="4" t="s">
        <v>2227</v>
      </c>
      <c r="T1094" s="4" t="s">
        <v>2228</v>
      </c>
      <c r="U1094" s="4" t="s">
        <v>2237</v>
      </c>
      <c r="V1094" s="4" t="s">
        <v>8</v>
      </c>
      <c r="W1094" s="4" t="s">
        <v>2278</v>
      </c>
      <c r="X1094" s="4" t="s">
        <v>2224</v>
      </c>
      <c r="Y1094" s="4" t="s">
        <v>2239</v>
      </c>
      <c r="Z1094" s="6">
        <v>16081.7</v>
      </c>
      <c r="AA1094" s="6">
        <v>192980.4</v>
      </c>
      <c r="AB1094" s="4" t="s">
        <v>2232</v>
      </c>
      <c r="AC1094" s="7" t="s">
        <v>2224</v>
      </c>
    </row>
    <row r="1095" spans="1:29" ht="15" customHeight="1" collapsed="1" thickBot="1" x14ac:dyDescent="0.3">
      <c r="A1095" s="20" t="str">
        <f>CONCATENATE("660"," - ","MISS", " ","Natasha"," ", "Smuts")</f>
        <v>660 - MISS Natasha Smuts</v>
      </c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2"/>
    </row>
    <row r="1096" spans="1:29" ht="15" hidden="1" customHeight="1" outlineLevel="1" thickBot="1" x14ac:dyDescent="0.3">
      <c r="A1096" s="4" t="s">
        <v>3889</v>
      </c>
      <c r="B1096" s="4" t="s">
        <v>350</v>
      </c>
      <c r="C1096" s="4" t="s">
        <v>2220</v>
      </c>
      <c r="D1096" s="5">
        <v>42962.549999999996</v>
      </c>
      <c r="E1096" s="4" t="s">
        <v>2221</v>
      </c>
      <c r="F1096" s="4" t="s">
        <v>2222</v>
      </c>
      <c r="G1096" s="4" t="s">
        <v>2234</v>
      </c>
      <c r="H1096" s="4" t="s">
        <v>797</v>
      </c>
      <c r="I1096" s="4" t="s">
        <v>1439</v>
      </c>
      <c r="J1096" s="4" t="s">
        <v>1438</v>
      </c>
      <c r="K1096" s="5">
        <v>32550</v>
      </c>
      <c r="L1096" s="4" t="s">
        <v>3890</v>
      </c>
      <c r="M1096" s="4" t="s">
        <v>9</v>
      </c>
      <c r="N1096" s="5">
        <v>41307</v>
      </c>
      <c r="O1096" s="5" t="s">
        <v>2224</v>
      </c>
      <c r="P1096" s="4" t="s">
        <v>2224</v>
      </c>
      <c r="Q1096" s="4" t="s">
        <v>2938</v>
      </c>
      <c r="R1096" s="4" t="s">
        <v>2226</v>
      </c>
      <c r="S1096" s="4" t="s">
        <v>2227</v>
      </c>
      <c r="T1096" s="4" t="s">
        <v>2228</v>
      </c>
      <c r="U1096" s="4" t="s">
        <v>2237</v>
      </c>
      <c r="V1096" s="4" t="s">
        <v>125</v>
      </c>
      <c r="W1096" s="4" t="s">
        <v>2230</v>
      </c>
      <c r="X1096" s="4" t="s">
        <v>2224</v>
      </c>
      <c r="Y1096" s="4" t="s">
        <v>2239</v>
      </c>
      <c r="Z1096" s="6">
        <v>20646.896499999999</v>
      </c>
      <c r="AA1096" s="6">
        <v>247762.76</v>
      </c>
      <c r="AB1096" s="4" t="s">
        <v>2232</v>
      </c>
      <c r="AC1096" s="7" t="s">
        <v>2224</v>
      </c>
    </row>
    <row r="1097" spans="1:29" ht="15" customHeight="1" collapsed="1" thickBot="1" x14ac:dyDescent="0.3">
      <c r="A1097" s="20" t="str">
        <f>CONCATENATE("662"," - ","MR", " ","Thobani"," ", "Songo")</f>
        <v>662 - MR Thobani Songo</v>
      </c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2"/>
    </row>
    <row r="1098" spans="1:29" ht="15" hidden="1" customHeight="1" outlineLevel="1" thickBot="1" x14ac:dyDescent="0.3">
      <c r="A1098" s="4" t="s">
        <v>3891</v>
      </c>
      <c r="B1098" s="4" t="s">
        <v>523</v>
      </c>
      <c r="C1098" s="4" t="s">
        <v>2220</v>
      </c>
      <c r="D1098" s="5">
        <v>42962.461805555555</v>
      </c>
      <c r="E1098" s="4" t="s">
        <v>2221</v>
      </c>
      <c r="F1098" s="4" t="s">
        <v>2222</v>
      </c>
      <c r="G1098" s="4" t="s">
        <v>2014</v>
      </c>
      <c r="H1098" s="4" t="s">
        <v>1588</v>
      </c>
      <c r="I1098" s="4" t="s">
        <v>1777</v>
      </c>
      <c r="J1098" s="4" t="s">
        <v>1776</v>
      </c>
      <c r="K1098" s="5">
        <v>33529</v>
      </c>
      <c r="L1098" s="4" t="s">
        <v>3892</v>
      </c>
      <c r="M1098" s="4" t="s">
        <v>9</v>
      </c>
      <c r="N1098" s="5">
        <v>42072</v>
      </c>
      <c r="O1098" s="5" t="s">
        <v>2224</v>
      </c>
      <c r="P1098" s="4" t="s">
        <v>2224</v>
      </c>
      <c r="Q1098" s="4" t="s">
        <v>3893</v>
      </c>
      <c r="R1098" s="4" t="s">
        <v>2226</v>
      </c>
      <c r="S1098" s="4" t="s">
        <v>2227</v>
      </c>
      <c r="T1098" s="4" t="s">
        <v>2228</v>
      </c>
      <c r="U1098" s="4" t="s">
        <v>2229</v>
      </c>
      <c r="V1098" s="4" t="s">
        <v>25</v>
      </c>
      <c r="W1098" s="4" t="s">
        <v>2278</v>
      </c>
      <c r="X1098" s="4" t="s">
        <v>2224</v>
      </c>
      <c r="Y1098" s="4" t="s">
        <v>2394</v>
      </c>
      <c r="Z1098" s="6">
        <v>10710.1538</v>
      </c>
      <c r="AA1098" s="6">
        <v>128521.85</v>
      </c>
      <c r="AB1098" s="4" t="s">
        <v>2232</v>
      </c>
      <c r="AC1098" s="7" t="s">
        <v>2224</v>
      </c>
    </row>
    <row r="1099" spans="1:29" ht="15" customHeight="1" collapsed="1" thickBot="1" x14ac:dyDescent="0.3">
      <c r="A1099" s="20" t="str">
        <f>CONCATENATE("663"," - ","MISS", " ","NOLIZWI"," ", "SONO")</f>
        <v>663 - MISS NOLIZWI SONO</v>
      </c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2"/>
    </row>
    <row r="1100" spans="1:29" ht="15" hidden="1" customHeight="1" outlineLevel="1" thickBot="1" x14ac:dyDescent="0.3">
      <c r="A1100" s="4" t="s">
        <v>3894</v>
      </c>
      <c r="B1100" s="4" t="s">
        <v>177</v>
      </c>
      <c r="C1100" s="4" t="s">
        <v>2220</v>
      </c>
      <c r="D1100" s="5">
        <v>42962.461805555555</v>
      </c>
      <c r="E1100" s="4" t="s">
        <v>2221</v>
      </c>
      <c r="F1100" s="4" t="s">
        <v>2222</v>
      </c>
      <c r="G1100" s="4" t="s">
        <v>2234</v>
      </c>
      <c r="H1100" s="4" t="s">
        <v>797</v>
      </c>
      <c r="I1100" s="4" t="s">
        <v>1114</v>
      </c>
      <c r="J1100" s="4" t="s">
        <v>1113</v>
      </c>
      <c r="K1100" s="5">
        <v>29067</v>
      </c>
      <c r="L1100" s="4" t="s">
        <v>3895</v>
      </c>
      <c r="M1100" s="4" t="s">
        <v>9</v>
      </c>
      <c r="N1100" s="5">
        <v>39387</v>
      </c>
      <c r="O1100" s="5" t="s">
        <v>2224</v>
      </c>
      <c r="P1100" s="4" t="s">
        <v>2224</v>
      </c>
      <c r="Q1100" s="4" t="s">
        <v>3896</v>
      </c>
      <c r="R1100" s="4" t="s">
        <v>2226</v>
      </c>
      <c r="S1100" s="4" t="s">
        <v>2227</v>
      </c>
      <c r="T1100" s="4" t="s">
        <v>2228</v>
      </c>
      <c r="U1100" s="4" t="s">
        <v>2229</v>
      </c>
      <c r="V1100" s="4" t="s">
        <v>25</v>
      </c>
      <c r="W1100" s="4" t="s">
        <v>2278</v>
      </c>
      <c r="X1100" s="4" t="s">
        <v>2224</v>
      </c>
      <c r="Y1100" s="4" t="s">
        <v>2231</v>
      </c>
      <c r="Z1100" s="6">
        <v>17112.25</v>
      </c>
      <c r="AA1100" s="6">
        <v>205347</v>
      </c>
      <c r="AB1100" s="4" t="s">
        <v>2232</v>
      </c>
      <c r="AC1100" s="7" t="s">
        <v>2224</v>
      </c>
    </row>
    <row r="1101" spans="1:29" ht="15" customHeight="1" collapsed="1" thickBot="1" x14ac:dyDescent="0.3">
      <c r="A1101" s="20" t="str">
        <f>CONCATENATE("664"," - ","", " ","Soomesh"," ", "Maharaj")</f>
        <v>664 -  Soomesh Maharaj</v>
      </c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2"/>
    </row>
    <row r="1102" spans="1:29" ht="15" hidden="1" customHeight="1" outlineLevel="1" thickBot="1" x14ac:dyDescent="0.3">
      <c r="A1102" s="4" t="s">
        <v>3897</v>
      </c>
      <c r="B1102" s="4" t="s">
        <v>3898</v>
      </c>
      <c r="C1102" s="4" t="s">
        <v>2220</v>
      </c>
      <c r="D1102" s="5">
        <v>42948.693055555552</v>
      </c>
      <c r="E1102" s="4" t="s">
        <v>2221</v>
      </c>
      <c r="F1102" s="4" t="s">
        <v>2222</v>
      </c>
      <c r="G1102" s="4" t="s">
        <v>2224</v>
      </c>
      <c r="H1102" s="4" t="s">
        <v>800</v>
      </c>
      <c r="I1102" s="4" t="s">
        <v>3899</v>
      </c>
      <c r="J1102" s="4" t="s">
        <v>3900</v>
      </c>
      <c r="K1102" s="5">
        <v>28530</v>
      </c>
      <c r="L1102" s="4" t="s">
        <v>3901</v>
      </c>
      <c r="M1102" s="4" t="s">
        <v>2505</v>
      </c>
      <c r="N1102" s="5">
        <v>41792</v>
      </c>
      <c r="O1102" s="5">
        <v>42855</v>
      </c>
      <c r="P1102" s="4" t="s">
        <v>2441</v>
      </c>
      <c r="Q1102" s="4" t="s">
        <v>2426</v>
      </c>
      <c r="R1102" s="4" t="s">
        <v>2224</v>
      </c>
      <c r="S1102" s="4" t="s">
        <v>2227</v>
      </c>
      <c r="T1102" s="4" t="s">
        <v>2228</v>
      </c>
      <c r="U1102" s="4" t="s">
        <v>2248</v>
      </c>
      <c r="V1102" s="4" t="s">
        <v>468</v>
      </c>
      <c r="W1102" s="4" t="s">
        <v>2297</v>
      </c>
      <c r="X1102" s="4" t="s">
        <v>2224</v>
      </c>
      <c r="Y1102" s="4" t="s">
        <v>2224</v>
      </c>
      <c r="Z1102" s="6">
        <v>0</v>
      </c>
      <c r="AA1102" s="6">
        <v>0</v>
      </c>
      <c r="AB1102" s="4" t="s">
        <v>2232</v>
      </c>
      <c r="AC1102" s="7" t="s">
        <v>2224</v>
      </c>
    </row>
    <row r="1103" spans="1:29" ht="15" customHeight="1" collapsed="1" thickBot="1" x14ac:dyDescent="0.3">
      <c r="A1103" s="20" t="str">
        <f>CONCATENATE("665"," - ","MISS", " ","Nondyebo"," ", "Sopela")</f>
        <v>665 - MISS Nondyebo Sopela</v>
      </c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2"/>
    </row>
    <row r="1104" spans="1:29" ht="15" hidden="1" customHeight="1" outlineLevel="1" thickBot="1" x14ac:dyDescent="0.3">
      <c r="A1104" s="4" t="s">
        <v>3902</v>
      </c>
      <c r="B1104" s="4" t="s">
        <v>61</v>
      </c>
      <c r="C1104" s="4" t="s">
        <v>2220</v>
      </c>
      <c r="D1104" s="5">
        <v>42962.461805555555</v>
      </c>
      <c r="E1104" s="4" t="s">
        <v>2221</v>
      </c>
      <c r="F1104" s="4" t="s">
        <v>2222</v>
      </c>
      <c r="G1104" s="4" t="s">
        <v>2234</v>
      </c>
      <c r="H1104" s="4" t="s">
        <v>797</v>
      </c>
      <c r="I1104" s="4" t="s">
        <v>881</v>
      </c>
      <c r="J1104" s="4" t="s">
        <v>880</v>
      </c>
      <c r="K1104" s="5">
        <v>27404</v>
      </c>
      <c r="L1104" s="4" t="s">
        <v>3903</v>
      </c>
      <c r="M1104" s="4" t="s">
        <v>9</v>
      </c>
      <c r="N1104" s="5">
        <v>38992</v>
      </c>
      <c r="O1104" s="5" t="s">
        <v>2224</v>
      </c>
      <c r="P1104" s="4" t="s">
        <v>2224</v>
      </c>
      <c r="Q1104" s="4" t="s">
        <v>3904</v>
      </c>
      <c r="R1104" s="4" t="s">
        <v>2226</v>
      </c>
      <c r="S1104" s="4" t="s">
        <v>2227</v>
      </c>
      <c r="T1104" s="4" t="s">
        <v>2228</v>
      </c>
      <c r="U1104" s="4" t="s">
        <v>2229</v>
      </c>
      <c r="V1104" s="4" t="s">
        <v>25</v>
      </c>
      <c r="W1104" s="4" t="s">
        <v>2278</v>
      </c>
      <c r="X1104" s="4" t="s">
        <v>2224</v>
      </c>
      <c r="Y1104" s="4" t="s">
        <v>2231</v>
      </c>
      <c r="Z1104" s="6">
        <v>17112.2621</v>
      </c>
      <c r="AA1104" s="6">
        <v>205347.15</v>
      </c>
      <c r="AB1104" s="4" t="s">
        <v>2232</v>
      </c>
      <c r="AC1104" s="7" t="s">
        <v>2224</v>
      </c>
    </row>
    <row r="1105" spans="1:29" ht="15" customHeight="1" collapsed="1" thickBot="1" x14ac:dyDescent="0.3">
      <c r="A1105" s="20" t="str">
        <f>CONCATENATE("666"," - ","MS", " ","Maria"," ", "Spyridis")</f>
        <v>666 - MS Maria Spyridis</v>
      </c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2"/>
    </row>
    <row r="1106" spans="1:29" ht="15" hidden="1" customHeight="1" outlineLevel="1" thickBot="1" x14ac:dyDescent="0.3">
      <c r="A1106" s="4" t="s">
        <v>3905</v>
      </c>
      <c r="B1106" s="4" t="s">
        <v>3906</v>
      </c>
      <c r="C1106" s="4" t="s">
        <v>2220</v>
      </c>
      <c r="D1106" s="5">
        <v>42948.693055555552</v>
      </c>
      <c r="E1106" s="4" t="s">
        <v>2221</v>
      </c>
      <c r="F1106" s="4" t="s">
        <v>2222</v>
      </c>
      <c r="G1106" s="4" t="s">
        <v>813</v>
      </c>
      <c r="H1106" s="4" t="s">
        <v>788</v>
      </c>
      <c r="I1106" s="4" t="s">
        <v>1252</v>
      </c>
      <c r="J1106" s="4" t="s">
        <v>3907</v>
      </c>
      <c r="K1106" s="5">
        <v>26709</v>
      </c>
      <c r="L1106" s="4" t="s">
        <v>3908</v>
      </c>
      <c r="M1106" s="4" t="s">
        <v>2505</v>
      </c>
      <c r="N1106" s="5">
        <v>41730</v>
      </c>
      <c r="O1106" s="5">
        <v>42825</v>
      </c>
      <c r="P1106" s="4" t="s">
        <v>2242</v>
      </c>
      <c r="Q1106" s="4" t="s">
        <v>3135</v>
      </c>
      <c r="R1106" s="4" t="s">
        <v>2224</v>
      </c>
      <c r="S1106" s="4" t="s">
        <v>2227</v>
      </c>
      <c r="T1106" s="4" t="s">
        <v>2228</v>
      </c>
      <c r="U1106" s="4" t="s">
        <v>2248</v>
      </c>
      <c r="V1106" s="4" t="s">
        <v>3909</v>
      </c>
      <c r="W1106" s="4" t="s">
        <v>2249</v>
      </c>
      <c r="X1106" s="4" t="s">
        <v>2224</v>
      </c>
      <c r="Y1106" s="4" t="s">
        <v>2224</v>
      </c>
      <c r="Z1106" s="6">
        <v>0</v>
      </c>
      <c r="AA1106" s="6">
        <v>0</v>
      </c>
      <c r="AB1106" s="4" t="s">
        <v>2232</v>
      </c>
      <c r="AC1106" s="7" t="s">
        <v>2224</v>
      </c>
    </row>
    <row r="1107" spans="1:29" ht="15" customHeight="1" collapsed="1" thickBot="1" x14ac:dyDescent="0.3">
      <c r="A1107" s="20" t="str">
        <f>CONCATENATE("667"," - ","MR", " ","Eugene"," ", "Stander")</f>
        <v>667 - MR Eugene Stander</v>
      </c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2"/>
    </row>
    <row r="1108" spans="1:29" ht="15" hidden="1" customHeight="1" outlineLevel="1" thickBot="1" x14ac:dyDescent="0.3">
      <c r="A1108" s="4" t="s">
        <v>3910</v>
      </c>
      <c r="B1108" s="4" t="s">
        <v>3911</v>
      </c>
      <c r="C1108" s="4" t="s">
        <v>2220</v>
      </c>
      <c r="D1108" s="5">
        <v>42948.693055555552</v>
      </c>
      <c r="E1108" s="4" t="s">
        <v>2221</v>
      </c>
      <c r="F1108" s="4" t="s">
        <v>2222</v>
      </c>
      <c r="G1108" s="4" t="s">
        <v>2014</v>
      </c>
      <c r="H1108" s="4" t="s">
        <v>3912</v>
      </c>
      <c r="I1108" s="4" t="s">
        <v>3913</v>
      </c>
      <c r="J1108" s="4" t="s">
        <v>3914</v>
      </c>
      <c r="K1108" s="5">
        <v>30332</v>
      </c>
      <c r="L1108" s="4" t="s">
        <v>3915</v>
      </c>
      <c r="M1108" s="4" t="s">
        <v>2505</v>
      </c>
      <c r="N1108" s="5">
        <v>39387</v>
      </c>
      <c r="O1108" s="5">
        <v>42947</v>
      </c>
      <c r="P1108" s="4" t="s">
        <v>2441</v>
      </c>
      <c r="Q1108" s="4" t="s">
        <v>3916</v>
      </c>
      <c r="R1108" s="4" t="s">
        <v>2224</v>
      </c>
      <c r="S1108" s="4" t="s">
        <v>2227</v>
      </c>
      <c r="T1108" s="4" t="s">
        <v>2228</v>
      </c>
      <c r="U1108" s="4" t="s">
        <v>2248</v>
      </c>
      <c r="V1108" s="4" t="s">
        <v>3917</v>
      </c>
      <c r="W1108" s="4" t="s">
        <v>2297</v>
      </c>
      <c r="X1108" s="4" t="s">
        <v>2224</v>
      </c>
      <c r="Y1108" s="4" t="s">
        <v>2224</v>
      </c>
      <c r="Z1108" s="6">
        <v>0</v>
      </c>
      <c r="AA1108" s="6">
        <v>0</v>
      </c>
      <c r="AB1108" s="4" t="s">
        <v>2232</v>
      </c>
      <c r="AC1108" s="7" t="s">
        <v>2224</v>
      </c>
    </row>
    <row r="1109" spans="1:29" ht="15" customHeight="1" collapsed="1" thickBot="1" x14ac:dyDescent="0.3">
      <c r="A1109" s="20" t="str">
        <f>CONCATENATE("668"," - ","MR", " ","Sean"," ", "Stedman")</f>
        <v>668 - MR Sean Stedman</v>
      </c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2"/>
    </row>
    <row r="1110" spans="1:29" ht="15" hidden="1" customHeight="1" outlineLevel="1" thickBot="1" x14ac:dyDescent="0.3">
      <c r="A1110" s="4" t="s">
        <v>3918</v>
      </c>
      <c r="B1110" s="4" t="s">
        <v>458</v>
      </c>
      <c r="C1110" s="4" t="s">
        <v>2220</v>
      </c>
      <c r="D1110" s="5">
        <v>42963.288194444445</v>
      </c>
      <c r="E1110" s="4" t="s">
        <v>2221</v>
      </c>
      <c r="F1110" s="4" t="s">
        <v>2222</v>
      </c>
      <c r="G1110" s="4" t="s">
        <v>2014</v>
      </c>
      <c r="H1110" s="4" t="s">
        <v>800</v>
      </c>
      <c r="I1110" s="4" t="s">
        <v>1652</v>
      </c>
      <c r="J1110" s="4" t="s">
        <v>1651</v>
      </c>
      <c r="K1110" s="5">
        <v>25798</v>
      </c>
      <c r="L1110" s="4" t="s">
        <v>3919</v>
      </c>
      <c r="M1110" s="4" t="s">
        <v>9</v>
      </c>
      <c r="N1110" s="5">
        <v>41730</v>
      </c>
      <c r="O1110" s="5" t="s">
        <v>2224</v>
      </c>
      <c r="P1110" s="4" t="s">
        <v>2224</v>
      </c>
      <c r="Q1110" s="4" t="s">
        <v>3920</v>
      </c>
      <c r="R1110" s="4" t="s">
        <v>2226</v>
      </c>
      <c r="S1110" s="4" t="s">
        <v>2227</v>
      </c>
      <c r="T1110" s="4" t="s">
        <v>2228</v>
      </c>
      <c r="U1110" s="4" t="s">
        <v>2258</v>
      </c>
      <c r="V1110" s="4" t="s">
        <v>13</v>
      </c>
      <c r="W1110" s="4" t="s">
        <v>2249</v>
      </c>
      <c r="X1110" s="4" t="s">
        <v>2224</v>
      </c>
      <c r="Y1110" s="4" t="s">
        <v>2259</v>
      </c>
      <c r="Z1110" s="6">
        <v>107642.21</v>
      </c>
      <c r="AA1110" s="6">
        <v>1291706.52</v>
      </c>
      <c r="AB1110" s="4" t="s">
        <v>2232</v>
      </c>
      <c r="AC1110" s="7" t="s">
        <v>2224</v>
      </c>
    </row>
    <row r="1111" spans="1:29" ht="15" customHeight="1" collapsed="1" thickBot="1" x14ac:dyDescent="0.3">
      <c r="A1111" s="20" t="str">
        <f>CONCATENATE("669"," - ","MR", " ","Johan"," ", "Steyl")</f>
        <v>669 - MR Johan Steyl</v>
      </c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2"/>
    </row>
    <row r="1112" spans="1:29" ht="15" hidden="1" customHeight="1" outlineLevel="1" thickBot="1" x14ac:dyDescent="0.3">
      <c r="A1112" s="4" t="s">
        <v>3921</v>
      </c>
      <c r="B1112" s="4" t="s">
        <v>317</v>
      </c>
      <c r="C1112" s="4" t="s">
        <v>2220</v>
      </c>
      <c r="D1112" s="5">
        <v>42963.285416666666</v>
      </c>
      <c r="E1112" s="4" t="s">
        <v>2221</v>
      </c>
      <c r="F1112" s="4" t="s">
        <v>2222</v>
      </c>
      <c r="G1112" s="4" t="s">
        <v>2014</v>
      </c>
      <c r="H1112" s="4" t="s">
        <v>1376</v>
      </c>
      <c r="I1112" s="4" t="s">
        <v>1377</v>
      </c>
      <c r="J1112" s="4" t="s">
        <v>1375</v>
      </c>
      <c r="K1112" s="5">
        <v>30746</v>
      </c>
      <c r="L1112" s="4" t="s">
        <v>3922</v>
      </c>
      <c r="M1112" s="4" t="s">
        <v>9</v>
      </c>
      <c r="N1112" s="5">
        <v>41183</v>
      </c>
      <c r="O1112" s="5" t="s">
        <v>2224</v>
      </c>
      <c r="P1112" s="4" t="s">
        <v>2224</v>
      </c>
      <c r="Q1112" s="4" t="s">
        <v>3923</v>
      </c>
      <c r="R1112" s="4" t="s">
        <v>2226</v>
      </c>
      <c r="S1112" s="4" t="s">
        <v>2227</v>
      </c>
      <c r="T1112" s="4" t="s">
        <v>2228</v>
      </c>
      <c r="U1112" s="4" t="s">
        <v>2258</v>
      </c>
      <c r="V1112" s="4" t="s">
        <v>13</v>
      </c>
      <c r="W1112" s="4" t="s">
        <v>2249</v>
      </c>
      <c r="X1112" s="4" t="s">
        <v>2224</v>
      </c>
      <c r="Y1112" s="4" t="s">
        <v>2259</v>
      </c>
      <c r="Z1112" s="6">
        <v>107642.2068</v>
      </c>
      <c r="AA1112" s="6">
        <v>1291706.48</v>
      </c>
      <c r="AB1112" s="4" t="s">
        <v>2232</v>
      </c>
      <c r="AC1112" s="7" t="s">
        <v>2224</v>
      </c>
    </row>
    <row r="1113" spans="1:29" ht="15" customHeight="1" collapsed="1" thickBot="1" x14ac:dyDescent="0.3">
      <c r="A1113" s="20" t="str">
        <f>CONCATENATE("670"," - ","MR", " ","Jacobus"," ", "Steyn")</f>
        <v>670 - MR Jacobus Steyn</v>
      </c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2"/>
    </row>
    <row r="1114" spans="1:29" ht="15" hidden="1" customHeight="1" outlineLevel="1" thickBot="1" x14ac:dyDescent="0.3">
      <c r="A1114" s="4" t="s">
        <v>3924</v>
      </c>
      <c r="B1114" s="4" t="s">
        <v>363</v>
      </c>
      <c r="C1114" s="4" t="s">
        <v>2220</v>
      </c>
      <c r="D1114" s="5">
        <v>42963.286805555552</v>
      </c>
      <c r="E1114" s="4" t="s">
        <v>2221</v>
      </c>
      <c r="F1114" s="4" t="s">
        <v>2222</v>
      </c>
      <c r="G1114" s="4" t="s">
        <v>2014</v>
      </c>
      <c r="H1114" s="4" t="s">
        <v>996</v>
      </c>
      <c r="I1114" s="4" t="s">
        <v>992</v>
      </c>
      <c r="J1114" s="4" t="s">
        <v>1138</v>
      </c>
      <c r="K1114" s="5">
        <v>30054</v>
      </c>
      <c r="L1114" s="4" t="s">
        <v>3925</v>
      </c>
      <c r="M1114" s="4" t="s">
        <v>9</v>
      </c>
      <c r="N1114" s="5">
        <v>41330</v>
      </c>
      <c r="O1114" s="5" t="s">
        <v>2224</v>
      </c>
      <c r="P1114" s="4" t="s">
        <v>2224</v>
      </c>
      <c r="Q1114" s="4" t="s">
        <v>3926</v>
      </c>
      <c r="R1114" s="4" t="s">
        <v>2226</v>
      </c>
      <c r="S1114" s="4" t="s">
        <v>2227</v>
      </c>
      <c r="T1114" s="4" t="s">
        <v>2228</v>
      </c>
      <c r="U1114" s="4" t="s">
        <v>2258</v>
      </c>
      <c r="V1114" s="4" t="s">
        <v>13</v>
      </c>
      <c r="W1114" s="4" t="s">
        <v>2249</v>
      </c>
      <c r="X1114" s="4" t="s">
        <v>2224</v>
      </c>
      <c r="Y1114" s="4" t="s">
        <v>2259</v>
      </c>
      <c r="Z1114" s="6">
        <v>105531.5736</v>
      </c>
      <c r="AA1114" s="6">
        <v>1266378.8799999999</v>
      </c>
      <c r="AB1114" s="4" t="s">
        <v>2232</v>
      </c>
      <c r="AC1114" s="7" t="s">
        <v>2224</v>
      </c>
    </row>
    <row r="1115" spans="1:29" ht="15" customHeight="1" collapsed="1" thickBot="1" x14ac:dyDescent="0.3">
      <c r="A1115" s="20" t="str">
        <f>CONCATENATE("671"," - ","MRS", " ","Sandy"," ", "Steyn")</f>
        <v>671 - MRS Sandy Steyn</v>
      </c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2"/>
    </row>
    <row r="1116" spans="1:29" ht="15" hidden="1" customHeight="1" outlineLevel="1" thickBot="1" x14ac:dyDescent="0.3">
      <c r="A1116" s="4" t="s">
        <v>3927</v>
      </c>
      <c r="B1116" s="4" t="s">
        <v>193</v>
      </c>
      <c r="C1116" s="4" t="s">
        <v>2220</v>
      </c>
      <c r="D1116" s="5">
        <v>42962.461805555555</v>
      </c>
      <c r="E1116" s="4" t="s">
        <v>2221</v>
      </c>
      <c r="F1116" s="4" t="s">
        <v>2222</v>
      </c>
      <c r="G1116" s="4" t="s">
        <v>2280</v>
      </c>
      <c r="H1116" s="4" t="s">
        <v>1139</v>
      </c>
      <c r="I1116" s="4" t="s">
        <v>1140</v>
      </c>
      <c r="J1116" s="4" t="s">
        <v>1138</v>
      </c>
      <c r="K1116" s="5">
        <v>31975</v>
      </c>
      <c r="L1116" s="4" t="s">
        <v>3928</v>
      </c>
      <c r="M1116" s="4" t="s">
        <v>9</v>
      </c>
      <c r="N1116" s="5">
        <v>39509</v>
      </c>
      <c r="O1116" s="5" t="s">
        <v>2224</v>
      </c>
      <c r="P1116" s="4" t="s">
        <v>2224</v>
      </c>
      <c r="Q1116" s="4" t="s">
        <v>3093</v>
      </c>
      <c r="R1116" s="4" t="s">
        <v>2226</v>
      </c>
      <c r="S1116" s="4" t="s">
        <v>2227</v>
      </c>
      <c r="T1116" s="4" t="s">
        <v>2228</v>
      </c>
      <c r="U1116" s="4" t="s">
        <v>2229</v>
      </c>
      <c r="V1116" s="4" t="s">
        <v>75</v>
      </c>
      <c r="W1116" s="4" t="s">
        <v>2249</v>
      </c>
      <c r="X1116" s="4" t="s">
        <v>2224</v>
      </c>
      <c r="Y1116" s="4" t="s">
        <v>2621</v>
      </c>
      <c r="Z1116" s="6">
        <v>15379.292299999999</v>
      </c>
      <c r="AA1116" s="6">
        <v>184551.51</v>
      </c>
      <c r="AB1116" s="4" t="s">
        <v>2232</v>
      </c>
      <c r="AC1116" s="7" t="s">
        <v>2224</v>
      </c>
    </row>
    <row r="1117" spans="1:29" ht="15" customHeight="1" collapsed="1" thickBot="1" x14ac:dyDescent="0.3">
      <c r="A1117" s="20" t="str">
        <f>CONCATENATE("672"," - ","MISS", " ","Yole"," ", "Stock")</f>
        <v>672 - MISS Yole Stock</v>
      </c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2"/>
    </row>
    <row r="1118" spans="1:29" ht="15" hidden="1" customHeight="1" outlineLevel="1" thickBot="1" x14ac:dyDescent="0.3">
      <c r="A1118" s="4" t="s">
        <v>3929</v>
      </c>
      <c r="B1118" s="4" t="s">
        <v>129</v>
      </c>
      <c r="C1118" s="4" t="s">
        <v>2220</v>
      </c>
      <c r="D1118" s="5">
        <v>42962.534722222219</v>
      </c>
      <c r="E1118" s="4" t="s">
        <v>2221</v>
      </c>
      <c r="F1118" s="4" t="s">
        <v>2222</v>
      </c>
      <c r="G1118" s="4" t="s">
        <v>2234</v>
      </c>
      <c r="H1118" s="4" t="s">
        <v>794</v>
      </c>
      <c r="I1118" s="4" t="s">
        <v>1017</v>
      </c>
      <c r="J1118" s="4" t="s">
        <v>1016</v>
      </c>
      <c r="K1118" s="5">
        <v>23609</v>
      </c>
      <c r="L1118" s="4" t="s">
        <v>3930</v>
      </c>
      <c r="M1118" s="4" t="s">
        <v>9</v>
      </c>
      <c r="N1118" s="5">
        <v>39092</v>
      </c>
      <c r="O1118" s="5" t="s">
        <v>2224</v>
      </c>
      <c r="P1118" s="4" t="s">
        <v>2224</v>
      </c>
      <c r="Q1118" s="4" t="s">
        <v>2340</v>
      </c>
      <c r="R1118" s="4" t="s">
        <v>2226</v>
      </c>
      <c r="S1118" s="4" t="s">
        <v>2227</v>
      </c>
      <c r="T1118" s="4" t="s">
        <v>2228</v>
      </c>
      <c r="U1118" s="4" t="s">
        <v>2248</v>
      </c>
      <c r="V1118" s="4" t="s">
        <v>130</v>
      </c>
      <c r="W1118" s="4" t="s">
        <v>2249</v>
      </c>
      <c r="X1118" s="4" t="s">
        <v>2224</v>
      </c>
      <c r="Y1118" s="4" t="s">
        <v>2259</v>
      </c>
      <c r="Z1118" s="6">
        <v>24706.092100000002</v>
      </c>
      <c r="AA1118" s="6">
        <v>296473.11</v>
      </c>
      <c r="AB1118" s="4" t="s">
        <v>2232</v>
      </c>
      <c r="AC1118" s="7" t="s">
        <v>2224</v>
      </c>
    </row>
    <row r="1119" spans="1:29" ht="15" customHeight="1" collapsed="1" thickBot="1" x14ac:dyDescent="0.3">
      <c r="A1119" s="20" t="str">
        <f>CONCATENATE("673"," - ","MR", " ","Sybrand"," ", "Strachan")</f>
        <v>673 - MR Sybrand Strachan</v>
      </c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2"/>
    </row>
    <row r="1120" spans="1:29" ht="15" hidden="1" customHeight="1" outlineLevel="1" thickBot="1" x14ac:dyDescent="0.3">
      <c r="A1120" s="4" t="s">
        <v>3931</v>
      </c>
      <c r="B1120" s="4" t="s">
        <v>52</v>
      </c>
      <c r="C1120" s="4" t="s">
        <v>2220</v>
      </c>
      <c r="D1120" s="5">
        <v>42962.462500000001</v>
      </c>
      <c r="E1120" s="4" t="s">
        <v>2221</v>
      </c>
      <c r="F1120" s="4" t="s">
        <v>2222</v>
      </c>
      <c r="G1120" s="4" t="s">
        <v>2014</v>
      </c>
      <c r="H1120" s="4" t="s">
        <v>865</v>
      </c>
      <c r="I1120" s="4" t="s">
        <v>866</v>
      </c>
      <c r="J1120" s="4" t="s">
        <v>864</v>
      </c>
      <c r="K1120" s="5">
        <v>20545</v>
      </c>
      <c r="L1120" s="4" t="s">
        <v>3932</v>
      </c>
      <c r="M1120" s="4" t="s">
        <v>9</v>
      </c>
      <c r="N1120" s="5">
        <v>38991</v>
      </c>
      <c r="O1120" s="5" t="s">
        <v>2224</v>
      </c>
      <c r="P1120" s="4" t="s">
        <v>2224</v>
      </c>
      <c r="Q1120" s="4" t="s">
        <v>3933</v>
      </c>
      <c r="R1120" s="4" t="s">
        <v>2226</v>
      </c>
      <c r="S1120" s="4" t="s">
        <v>2227</v>
      </c>
      <c r="T1120" s="4" t="s">
        <v>2228</v>
      </c>
      <c r="U1120" s="4" t="s">
        <v>2248</v>
      </c>
      <c r="V1120" s="4" t="s">
        <v>53</v>
      </c>
      <c r="W1120" s="4" t="s">
        <v>2297</v>
      </c>
      <c r="X1120" s="4" t="s">
        <v>2224</v>
      </c>
      <c r="Y1120" s="4" t="s">
        <v>2298</v>
      </c>
      <c r="Z1120" s="6">
        <v>102200.5959</v>
      </c>
      <c r="AA1120" s="6">
        <v>1226407.1499999999</v>
      </c>
      <c r="AB1120" s="4" t="s">
        <v>2232</v>
      </c>
      <c r="AC1120" s="7" t="s">
        <v>2224</v>
      </c>
    </row>
    <row r="1121" spans="1:29" ht="15" customHeight="1" collapsed="1" thickBot="1" x14ac:dyDescent="0.3">
      <c r="A1121" s="20" t="str">
        <f>CONCATENATE("674"," - ","MRS", " ","Ursula"," ", "Strydom")</f>
        <v>674 - MRS Ursula Strydom</v>
      </c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2"/>
    </row>
    <row r="1122" spans="1:29" ht="15" hidden="1" customHeight="1" outlineLevel="1" thickBot="1" x14ac:dyDescent="0.3">
      <c r="A1122" s="4" t="s">
        <v>3934</v>
      </c>
      <c r="B1122" s="4" t="s">
        <v>303</v>
      </c>
      <c r="C1122" s="4" t="s">
        <v>2220</v>
      </c>
      <c r="D1122" s="5">
        <v>42962.463194444441</v>
      </c>
      <c r="E1122" s="4" t="s">
        <v>2221</v>
      </c>
      <c r="F1122" s="4" t="s">
        <v>2222</v>
      </c>
      <c r="G1122" s="4" t="s">
        <v>2280</v>
      </c>
      <c r="H1122" s="4" t="s">
        <v>1337</v>
      </c>
      <c r="I1122" s="4" t="s">
        <v>1350</v>
      </c>
      <c r="J1122" s="4" t="s">
        <v>1349</v>
      </c>
      <c r="K1122" s="5">
        <v>26935</v>
      </c>
      <c r="L1122" s="4" t="s">
        <v>3935</v>
      </c>
      <c r="M1122" s="4" t="s">
        <v>9</v>
      </c>
      <c r="N1122" s="5">
        <v>41091</v>
      </c>
      <c r="O1122" s="5" t="s">
        <v>2224</v>
      </c>
      <c r="P1122" s="4" t="s">
        <v>2224</v>
      </c>
      <c r="Q1122" s="4" t="s">
        <v>3936</v>
      </c>
      <c r="R1122" s="4" t="s">
        <v>2226</v>
      </c>
      <c r="S1122" s="4" t="s">
        <v>2227</v>
      </c>
      <c r="T1122" s="4" t="s">
        <v>2228</v>
      </c>
      <c r="U1122" s="4" t="s">
        <v>2248</v>
      </c>
      <c r="V1122" s="4" t="s">
        <v>759</v>
      </c>
      <c r="W1122" s="4" t="s">
        <v>2230</v>
      </c>
      <c r="X1122" s="4" t="s">
        <v>2224</v>
      </c>
      <c r="Y1122" s="4" t="s">
        <v>2317</v>
      </c>
      <c r="Z1122" s="6">
        <v>28282.67</v>
      </c>
      <c r="AA1122" s="6">
        <v>339392.04</v>
      </c>
      <c r="AB1122" s="4" t="s">
        <v>2232</v>
      </c>
      <c r="AC1122" s="7" t="s">
        <v>2224</v>
      </c>
    </row>
    <row r="1123" spans="1:29" ht="15" customHeight="1" collapsed="1" thickBot="1" x14ac:dyDescent="0.3">
      <c r="A1123" s="20" t="str">
        <f>CONCATENATE("675"," - ","MR", " ","Seelan"," ", "Subban")</f>
        <v>675 - MR Seelan Subban</v>
      </c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2"/>
    </row>
    <row r="1124" spans="1:29" ht="15" hidden="1" customHeight="1" outlineLevel="1" thickBot="1" x14ac:dyDescent="0.3">
      <c r="A1124" s="4" t="s">
        <v>3937</v>
      </c>
      <c r="B1124" s="4" t="s">
        <v>115</v>
      </c>
      <c r="C1124" s="4" t="s">
        <v>2220</v>
      </c>
      <c r="D1124" s="5">
        <v>42962.462500000001</v>
      </c>
      <c r="E1124" s="4" t="s">
        <v>2221</v>
      </c>
      <c r="F1124" s="4" t="s">
        <v>2222</v>
      </c>
      <c r="G1124" s="4" t="s">
        <v>2014</v>
      </c>
      <c r="H1124" s="4" t="s">
        <v>800</v>
      </c>
      <c r="I1124" s="4" t="s">
        <v>994</v>
      </c>
      <c r="J1124" s="4" t="s">
        <v>993</v>
      </c>
      <c r="K1124" s="5">
        <v>27686</v>
      </c>
      <c r="L1124" s="4" t="s">
        <v>3938</v>
      </c>
      <c r="M1124" s="4" t="s">
        <v>9</v>
      </c>
      <c r="N1124" s="5">
        <v>39034</v>
      </c>
      <c r="O1124" s="5" t="s">
        <v>2224</v>
      </c>
      <c r="P1124" s="4" t="s">
        <v>2224</v>
      </c>
      <c r="Q1124" s="4" t="s">
        <v>3939</v>
      </c>
      <c r="R1124" s="4" t="s">
        <v>2226</v>
      </c>
      <c r="S1124" s="4" t="s">
        <v>2227</v>
      </c>
      <c r="T1124" s="4" t="s">
        <v>2228</v>
      </c>
      <c r="U1124" s="4" t="s">
        <v>2229</v>
      </c>
      <c r="V1124" s="4" t="s">
        <v>116</v>
      </c>
      <c r="W1124" s="4" t="s">
        <v>2249</v>
      </c>
      <c r="X1124" s="4" t="s">
        <v>2224</v>
      </c>
      <c r="Y1124" s="4" t="s">
        <v>2549</v>
      </c>
      <c r="Z1124" s="6">
        <v>27666.338100000001</v>
      </c>
      <c r="AA1124" s="6">
        <v>331996.06</v>
      </c>
      <c r="AB1124" s="4" t="s">
        <v>2232</v>
      </c>
      <c r="AC1124" s="7" t="s">
        <v>2224</v>
      </c>
    </row>
    <row r="1125" spans="1:29" ht="15" customHeight="1" collapsed="1" thickBot="1" x14ac:dyDescent="0.3">
      <c r="A1125" s="20" t="str">
        <f>CONCATENATE("676"," - ","MISS", " ","Cleona"," ", "Sukhari")</f>
        <v>676 - MISS Cleona Sukhari</v>
      </c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2"/>
    </row>
    <row r="1126" spans="1:29" ht="15" hidden="1" customHeight="1" outlineLevel="1" thickBot="1" x14ac:dyDescent="0.3">
      <c r="A1126" s="4" t="s">
        <v>3940</v>
      </c>
      <c r="B1126" s="4" t="s">
        <v>278</v>
      </c>
      <c r="C1126" s="4" t="s">
        <v>2220</v>
      </c>
      <c r="D1126" s="5">
        <v>42962.462500000001</v>
      </c>
      <c r="E1126" s="4" t="s">
        <v>2221</v>
      </c>
      <c r="F1126" s="4" t="s">
        <v>2222</v>
      </c>
      <c r="G1126" s="4" t="s">
        <v>2234</v>
      </c>
      <c r="H1126" s="4" t="s">
        <v>743</v>
      </c>
      <c r="I1126" s="4" t="s">
        <v>1311</v>
      </c>
      <c r="J1126" s="4" t="s">
        <v>1310</v>
      </c>
      <c r="K1126" s="5">
        <v>32586</v>
      </c>
      <c r="L1126" s="4" t="s">
        <v>3941</v>
      </c>
      <c r="M1126" s="4" t="s">
        <v>9</v>
      </c>
      <c r="N1126" s="5">
        <v>40819</v>
      </c>
      <c r="O1126" s="5" t="s">
        <v>2224</v>
      </c>
      <c r="P1126" s="4" t="s">
        <v>2224</v>
      </c>
      <c r="Q1126" s="4" t="s">
        <v>3942</v>
      </c>
      <c r="R1126" s="4" t="s">
        <v>2226</v>
      </c>
      <c r="S1126" s="4" t="s">
        <v>2227</v>
      </c>
      <c r="T1126" s="4" t="s">
        <v>2228</v>
      </c>
      <c r="U1126" s="4" t="s">
        <v>2248</v>
      </c>
      <c r="V1126" s="4" t="s">
        <v>279</v>
      </c>
      <c r="W1126" s="4" t="s">
        <v>2230</v>
      </c>
      <c r="X1126" s="4" t="s">
        <v>2224</v>
      </c>
      <c r="Y1126" s="4" t="s">
        <v>2693</v>
      </c>
      <c r="Z1126" s="6">
        <v>28355</v>
      </c>
      <c r="AA1126" s="6">
        <v>340260</v>
      </c>
      <c r="AB1126" s="4" t="s">
        <v>2232</v>
      </c>
      <c r="AC1126" s="7" t="s">
        <v>2224</v>
      </c>
    </row>
    <row r="1127" spans="1:29" ht="15" customHeight="1" collapsed="1" thickBot="1" x14ac:dyDescent="0.3">
      <c r="A1127" s="20" t="str">
        <f>CONCATENATE("677"," - ","MR", " ","Irshad"," ", "Suliman")</f>
        <v>677 - MR Irshad Suliman</v>
      </c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2"/>
    </row>
    <row r="1128" spans="1:29" ht="15" hidden="1" customHeight="1" outlineLevel="1" thickBot="1" x14ac:dyDescent="0.3">
      <c r="A1128" s="4" t="s">
        <v>3943</v>
      </c>
      <c r="B1128" s="4" t="s">
        <v>668</v>
      </c>
      <c r="C1128" s="4" t="s">
        <v>2220</v>
      </c>
      <c r="D1128" s="5">
        <v>42962.462500000001</v>
      </c>
      <c r="E1128" s="4" t="s">
        <v>2221</v>
      </c>
      <c r="F1128" s="4" t="s">
        <v>2222</v>
      </c>
      <c r="G1128" s="4" t="s">
        <v>2014</v>
      </c>
      <c r="H1128" s="4" t="s">
        <v>744</v>
      </c>
      <c r="I1128" s="4" t="s">
        <v>2008</v>
      </c>
      <c r="J1128" s="4" t="s">
        <v>2007</v>
      </c>
      <c r="K1128" s="5">
        <v>30466</v>
      </c>
      <c r="L1128" s="4" t="s">
        <v>3944</v>
      </c>
      <c r="M1128" s="4" t="s">
        <v>9</v>
      </c>
      <c r="N1128" s="5">
        <v>42461</v>
      </c>
      <c r="O1128" s="5" t="s">
        <v>2224</v>
      </c>
      <c r="P1128" s="4" t="s">
        <v>2224</v>
      </c>
      <c r="Q1128" s="4" t="s">
        <v>3945</v>
      </c>
      <c r="R1128" s="4" t="s">
        <v>2226</v>
      </c>
      <c r="S1128" s="4" t="s">
        <v>2227</v>
      </c>
      <c r="T1128" s="4" t="s">
        <v>2228</v>
      </c>
      <c r="U1128" s="4" t="s">
        <v>2248</v>
      </c>
      <c r="V1128" s="4" t="s">
        <v>191</v>
      </c>
      <c r="W1128" s="4" t="s">
        <v>2249</v>
      </c>
      <c r="X1128" s="4" t="s">
        <v>2224</v>
      </c>
      <c r="Y1128" s="4" t="s">
        <v>2887</v>
      </c>
      <c r="Z1128" s="6">
        <v>34411</v>
      </c>
      <c r="AA1128" s="6">
        <v>412932</v>
      </c>
      <c r="AB1128" s="4" t="s">
        <v>2232</v>
      </c>
      <c r="AC1128" s="7" t="s">
        <v>2224</v>
      </c>
    </row>
    <row r="1129" spans="1:29" ht="15" customHeight="1" collapsed="1" thickBot="1" x14ac:dyDescent="0.3">
      <c r="A1129" s="20" t="str">
        <f>CONCATENATE("678"," - ","MRS", " ","Chene"," ", "Swano")</f>
        <v>678 - MRS Chene Swano</v>
      </c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2"/>
    </row>
    <row r="1130" spans="1:29" ht="15" hidden="1" customHeight="1" outlineLevel="1" thickBot="1" x14ac:dyDescent="0.3">
      <c r="A1130" s="4" t="s">
        <v>3946</v>
      </c>
      <c r="B1130" s="4" t="s">
        <v>98</v>
      </c>
      <c r="C1130" s="4" t="s">
        <v>2220</v>
      </c>
      <c r="D1130" s="5">
        <v>42962.461111111108</v>
      </c>
      <c r="E1130" s="4" t="s">
        <v>2221</v>
      </c>
      <c r="F1130" s="4" t="s">
        <v>2222</v>
      </c>
      <c r="G1130" s="4" t="s">
        <v>2280</v>
      </c>
      <c r="H1130" s="4" t="s">
        <v>743</v>
      </c>
      <c r="I1130" s="4" t="s">
        <v>959</v>
      </c>
      <c r="J1130" s="4" t="s">
        <v>958</v>
      </c>
      <c r="K1130" s="5">
        <v>30214</v>
      </c>
      <c r="L1130" s="4" t="s">
        <v>3947</v>
      </c>
      <c r="M1130" s="4" t="s">
        <v>9</v>
      </c>
      <c r="N1130" s="5">
        <v>39020</v>
      </c>
      <c r="O1130" s="5" t="s">
        <v>2224</v>
      </c>
      <c r="P1130" s="4" t="s">
        <v>2224</v>
      </c>
      <c r="Q1130" s="4" t="s">
        <v>3948</v>
      </c>
      <c r="R1130" s="4" t="s">
        <v>2226</v>
      </c>
      <c r="S1130" s="4" t="s">
        <v>2227</v>
      </c>
      <c r="T1130" s="4" t="s">
        <v>2228</v>
      </c>
      <c r="U1130" s="4" t="s">
        <v>2229</v>
      </c>
      <c r="V1130" s="4" t="s">
        <v>17</v>
      </c>
      <c r="W1130" s="4" t="s">
        <v>2230</v>
      </c>
      <c r="X1130" s="4" t="s">
        <v>2224</v>
      </c>
      <c r="Y1130" s="4" t="s">
        <v>2380</v>
      </c>
      <c r="Z1130" s="6">
        <v>21430.874299999999</v>
      </c>
      <c r="AA1130" s="6">
        <v>257170.49</v>
      </c>
      <c r="AB1130" s="4" t="s">
        <v>2232</v>
      </c>
      <c r="AC1130" s="7" t="s">
        <v>2224</v>
      </c>
    </row>
    <row r="1131" spans="1:29" ht="15" customHeight="1" collapsed="1" thickBot="1" x14ac:dyDescent="0.3">
      <c r="A1131" s="20" t="str">
        <f>CONCATENATE("679"," - ","MR", " ","Anton"," ", "Swarts")</f>
        <v>679 - MR Anton Swarts</v>
      </c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2"/>
    </row>
    <row r="1132" spans="1:29" ht="15" hidden="1" customHeight="1" outlineLevel="1" thickBot="1" x14ac:dyDescent="0.3">
      <c r="A1132" s="4" t="s">
        <v>3949</v>
      </c>
      <c r="B1132" s="4" t="s">
        <v>267</v>
      </c>
      <c r="C1132" s="4" t="s">
        <v>2220</v>
      </c>
      <c r="D1132" s="5">
        <v>42963.283333333333</v>
      </c>
      <c r="E1132" s="4" t="s">
        <v>2221</v>
      </c>
      <c r="F1132" s="4" t="s">
        <v>2222</v>
      </c>
      <c r="G1132" s="4" t="s">
        <v>2014</v>
      </c>
      <c r="H1132" s="4" t="s">
        <v>742</v>
      </c>
      <c r="I1132" s="4" t="s">
        <v>1290</v>
      </c>
      <c r="J1132" s="4" t="s">
        <v>1289</v>
      </c>
      <c r="K1132" s="5">
        <v>28737</v>
      </c>
      <c r="L1132" s="4" t="s">
        <v>3950</v>
      </c>
      <c r="M1132" s="4" t="s">
        <v>9</v>
      </c>
      <c r="N1132" s="5">
        <v>40661</v>
      </c>
      <c r="O1132" s="5" t="s">
        <v>2224</v>
      </c>
      <c r="P1132" s="4" t="s">
        <v>2224</v>
      </c>
      <c r="Q1132" s="4" t="s">
        <v>3951</v>
      </c>
      <c r="R1132" s="4" t="s">
        <v>2226</v>
      </c>
      <c r="S1132" s="4" t="s">
        <v>2227</v>
      </c>
      <c r="T1132" s="4" t="s">
        <v>2228</v>
      </c>
      <c r="U1132" s="4" t="s">
        <v>2258</v>
      </c>
      <c r="V1132" s="4" t="s">
        <v>13</v>
      </c>
      <c r="W1132" s="4" t="s">
        <v>2249</v>
      </c>
      <c r="X1132" s="4" t="s">
        <v>2224</v>
      </c>
      <c r="Y1132" s="4" t="s">
        <v>2259</v>
      </c>
      <c r="Z1132" s="6">
        <v>116515.39</v>
      </c>
      <c r="AA1132" s="6">
        <v>1398184.68</v>
      </c>
      <c r="AB1132" s="4" t="s">
        <v>2232</v>
      </c>
      <c r="AC1132" s="7" t="s">
        <v>2224</v>
      </c>
    </row>
    <row r="1133" spans="1:29" ht="15" customHeight="1" collapsed="1" thickBot="1" x14ac:dyDescent="0.3">
      <c r="A1133" s="20" t="str">
        <f>CONCATENATE("68"," - ","MR", " ","Petrus"," ", "Botha")</f>
        <v>68 - MR Petrus Botha</v>
      </c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2"/>
    </row>
    <row r="1134" spans="1:29" ht="15" hidden="1" customHeight="1" outlineLevel="1" thickBot="1" x14ac:dyDescent="0.3">
      <c r="A1134" s="4" t="s">
        <v>3952</v>
      </c>
      <c r="B1134" s="4" t="s">
        <v>685</v>
      </c>
      <c r="C1134" s="4" t="s">
        <v>2220</v>
      </c>
      <c r="D1134" s="5">
        <v>42962.463194444441</v>
      </c>
      <c r="E1134" s="4" t="s">
        <v>2221</v>
      </c>
      <c r="F1134" s="4" t="s">
        <v>2222</v>
      </c>
      <c r="G1134" s="4" t="s">
        <v>2014</v>
      </c>
      <c r="H1134" s="4" t="s">
        <v>977</v>
      </c>
      <c r="I1134" s="4" t="s">
        <v>1355</v>
      </c>
      <c r="J1134" s="4" t="s">
        <v>2040</v>
      </c>
      <c r="K1134" s="5">
        <v>22576</v>
      </c>
      <c r="L1134" s="4" t="s">
        <v>3953</v>
      </c>
      <c r="M1134" s="4" t="s">
        <v>9</v>
      </c>
      <c r="N1134" s="5">
        <v>42522</v>
      </c>
      <c r="O1134" s="5" t="s">
        <v>2224</v>
      </c>
      <c r="P1134" s="4" t="s">
        <v>2224</v>
      </c>
      <c r="Q1134" s="4" t="s">
        <v>3954</v>
      </c>
      <c r="R1134" s="4" t="s">
        <v>2226</v>
      </c>
      <c r="S1134" s="4" t="s">
        <v>2227</v>
      </c>
      <c r="T1134" s="4" t="s">
        <v>2228</v>
      </c>
      <c r="U1134" s="4" t="s">
        <v>2248</v>
      </c>
      <c r="V1134" s="4" t="s">
        <v>686</v>
      </c>
      <c r="W1134" s="4" t="s">
        <v>2249</v>
      </c>
      <c r="X1134" s="4" t="s">
        <v>2224</v>
      </c>
      <c r="Y1134" s="4" t="s">
        <v>2290</v>
      </c>
      <c r="Z1134" s="6">
        <v>66175</v>
      </c>
      <c r="AA1134" s="6">
        <v>794100</v>
      </c>
      <c r="AB1134" s="4" t="s">
        <v>2232</v>
      </c>
      <c r="AC1134" s="7" t="s">
        <v>2224</v>
      </c>
    </row>
    <row r="1135" spans="1:29" ht="15" customHeight="1" collapsed="1" thickBot="1" x14ac:dyDescent="0.3">
      <c r="A1135" s="20" t="str">
        <f>CONCATENATE("680"," - ","MR", " ","Johannes"," ", "Swarts")</f>
        <v>680 - MR Johannes Swarts</v>
      </c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2"/>
    </row>
    <row r="1136" spans="1:29" ht="15" hidden="1" customHeight="1" outlineLevel="1" thickBot="1" x14ac:dyDescent="0.3">
      <c r="A1136" s="4" t="s">
        <v>3955</v>
      </c>
      <c r="B1136" s="4" t="s">
        <v>398</v>
      </c>
      <c r="C1136" s="4" t="s">
        <v>2220</v>
      </c>
      <c r="D1136" s="5">
        <v>42962.461111111108</v>
      </c>
      <c r="E1136" s="4" t="s">
        <v>2221</v>
      </c>
      <c r="F1136" s="4" t="s">
        <v>2222</v>
      </c>
      <c r="G1136" s="4" t="s">
        <v>2014</v>
      </c>
      <c r="H1136" s="4" t="s">
        <v>888</v>
      </c>
      <c r="I1136" s="4" t="s">
        <v>975</v>
      </c>
      <c r="J1136" s="4" t="s">
        <v>1289</v>
      </c>
      <c r="K1136" s="5">
        <v>32809</v>
      </c>
      <c r="L1136" s="4" t="s">
        <v>3956</v>
      </c>
      <c r="M1136" s="4" t="s">
        <v>9</v>
      </c>
      <c r="N1136" s="5">
        <v>41487</v>
      </c>
      <c r="O1136" s="5" t="s">
        <v>2224</v>
      </c>
      <c r="P1136" s="4" t="s">
        <v>2224</v>
      </c>
      <c r="Q1136" s="4" t="s">
        <v>2479</v>
      </c>
      <c r="R1136" s="4" t="s">
        <v>2226</v>
      </c>
      <c r="S1136" s="4" t="s">
        <v>2227</v>
      </c>
      <c r="T1136" s="4" t="s">
        <v>2228</v>
      </c>
      <c r="U1136" s="4" t="s">
        <v>2229</v>
      </c>
      <c r="V1136" s="4" t="s">
        <v>25</v>
      </c>
      <c r="W1136" s="4" t="s">
        <v>2278</v>
      </c>
      <c r="X1136" s="4" t="s">
        <v>2224</v>
      </c>
      <c r="Y1136" s="4" t="s">
        <v>2423</v>
      </c>
      <c r="Z1136" s="6">
        <v>5355.0716000000002</v>
      </c>
      <c r="AA1136" s="6">
        <v>64260.86</v>
      </c>
      <c r="AB1136" s="4" t="s">
        <v>2232</v>
      </c>
      <c r="AC1136" s="7" t="s">
        <v>2224</v>
      </c>
    </row>
    <row r="1137" spans="1:29" ht="15" customHeight="1" collapsed="1" thickBot="1" x14ac:dyDescent="0.3">
      <c r="A1137" s="20" t="str">
        <f>CONCATENATE("681"," - ","MR", " ","Lee-Andro"," ", "Swarts")</f>
        <v>681 - MR Lee-Andro Swarts</v>
      </c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2"/>
    </row>
    <row r="1138" spans="1:29" ht="15" hidden="1" customHeight="1" outlineLevel="1" thickBot="1" x14ac:dyDescent="0.3">
      <c r="A1138" s="4" t="s">
        <v>3957</v>
      </c>
      <c r="B1138" s="4" t="s">
        <v>512</v>
      </c>
      <c r="C1138" s="4" t="s">
        <v>2220</v>
      </c>
      <c r="D1138" s="5">
        <v>42963.288194444445</v>
      </c>
      <c r="E1138" s="4" t="s">
        <v>2221</v>
      </c>
      <c r="F1138" s="4" t="s">
        <v>2222</v>
      </c>
      <c r="G1138" s="4" t="s">
        <v>2014</v>
      </c>
      <c r="H1138" s="4" t="s">
        <v>826</v>
      </c>
      <c r="I1138" s="4" t="s">
        <v>1758</v>
      </c>
      <c r="J1138" s="4" t="s">
        <v>1289</v>
      </c>
      <c r="K1138" s="5">
        <v>33164</v>
      </c>
      <c r="L1138" s="4" t="s">
        <v>3958</v>
      </c>
      <c r="M1138" s="4" t="s">
        <v>9</v>
      </c>
      <c r="N1138" s="5">
        <v>42101</v>
      </c>
      <c r="O1138" s="5" t="s">
        <v>2224</v>
      </c>
      <c r="P1138" s="4" t="s">
        <v>2224</v>
      </c>
      <c r="Q1138" s="4" t="s">
        <v>3959</v>
      </c>
      <c r="R1138" s="4" t="s">
        <v>2226</v>
      </c>
      <c r="S1138" s="4" t="s">
        <v>2227</v>
      </c>
      <c r="T1138" s="4" t="s">
        <v>2228</v>
      </c>
      <c r="U1138" s="4" t="s">
        <v>2258</v>
      </c>
      <c r="V1138" s="4" t="s">
        <v>257</v>
      </c>
      <c r="W1138" s="4" t="s">
        <v>2249</v>
      </c>
      <c r="X1138" s="4" t="s">
        <v>2224</v>
      </c>
      <c r="Y1138" s="4" t="s">
        <v>2259</v>
      </c>
      <c r="Z1138" s="6">
        <v>62470.321199999998</v>
      </c>
      <c r="AA1138" s="6">
        <v>749643.85</v>
      </c>
      <c r="AB1138" s="4" t="s">
        <v>2232</v>
      </c>
      <c r="AC1138" s="7" t="s">
        <v>2224</v>
      </c>
    </row>
    <row r="1139" spans="1:29" ht="15" customHeight="1" collapsed="1" thickBot="1" x14ac:dyDescent="0.3">
      <c r="A1139" s="20" t="str">
        <f>CONCATENATE("683"," - ","MISS", " ","Khalipa"," ", "Tasana")</f>
        <v>683 - MISS Khalipa Tasana</v>
      </c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2"/>
    </row>
    <row r="1140" spans="1:29" ht="15" hidden="1" customHeight="1" outlineLevel="1" thickBot="1" x14ac:dyDescent="0.3">
      <c r="A1140" s="4" t="s">
        <v>3960</v>
      </c>
      <c r="B1140" s="4" t="s">
        <v>401</v>
      </c>
      <c r="C1140" s="4" t="s">
        <v>2220</v>
      </c>
      <c r="D1140" s="5">
        <v>42962.461805555555</v>
      </c>
      <c r="E1140" s="4" t="s">
        <v>2221</v>
      </c>
      <c r="F1140" s="4" t="s">
        <v>2222</v>
      </c>
      <c r="G1140" s="4" t="s">
        <v>2234</v>
      </c>
      <c r="H1140" s="4" t="s">
        <v>1120</v>
      </c>
      <c r="I1140" s="4" t="s">
        <v>1527</v>
      </c>
      <c r="J1140" s="4" t="s">
        <v>1526</v>
      </c>
      <c r="K1140" s="5">
        <v>29486</v>
      </c>
      <c r="L1140" s="4" t="s">
        <v>3961</v>
      </c>
      <c r="M1140" s="4" t="s">
        <v>9</v>
      </c>
      <c r="N1140" s="5">
        <v>41487</v>
      </c>
      <c r="O1140" s="5" t="s">
        <v>2224</v>
      </c>
      <c r="P1140" s="4" t="s">
        <v>2224</v>
      </c>
      <c r="Q1140" s="4" t="s">
        <v>3962</v>
      </c>
      <c r="R1140" s="4" t="s">
        <v>2226</v>
      </c>
      <c r="S1140" s="4" t="s">
        <v>2227</v>
      </c>
      <c r="T1140" s="4" t="s">
        <v>2228</v>
      </c>
      <c r="U1140" s="4" t="s">
        <v>2229</v>
      </c>
      <c r="V1140" s="4" t="s">
        <v>25</v>
      </c>
      <c r="W1140" s="4" t="s">
        <v>2278</v>
      </c>
      <c r="X1140" s="4" t="s">
        <v>2224</v>
      </c>
      <c r="Y1140" s="4" t="s">
        <v>2394</v>
      </c>
      <c r="Z1140" s="6">
        <v>10710.1432</v>
      </c>
      <c r="AA1140" s="6">
        <v>128521.72</v>
      </c>
      <c r="AB1140" s="4" t="s">
        <v>2232</v>
      </c>
      <c r="AC1140" s="7" t="s">
        <v>2224</v>
      </c>
    </row>
    <row r="1141" spans="1:29" ht="15" customHeight="1" collapsed="1" thickBot="1" x14ac:dyDescent="0.3">
      <c r="A1141" s="20" t="str">
        <f>CONCATENATE("684"," - ","", " "," Tatum"," ", "Gordon")</f>
        <v>684 -   Tatum Gordon</v>
      </c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2"/>
    </row>
    <row r="1142" spans="1:29" ht="15" hidden="1" customHeight="1" outlineLevel="1" thickBot="1" x14ac:dyDescent="0.3">
      <c r="A1142" s="4" t="s">
        <v>3963</v>
      </c>
      <c r="B1142" s="4" t="s">
        <v>534</v>
      </c>
      <c r="C1142" s="4" t="s">
        <v>2220</v>
      </c>
      <c r="D1142" s="5">
        <v>42962.549999999996</v>
      </c>
      <c r="E1142" s="4" t="s">
        <v>2221</v>
      </c>
      <c r="F1142" s="4" t="s">
        <v>2222</v>
      </c>
      <c r="G1142" s="4" t="s">
        <v>2224</v>
      </c>
      <c r="H1142" s="4" t="s">
        <v>819</v>
      </c>
      <c r="I1142" s="4" t="s">
        <v>1797</v>
      </c>
      <c r="J1142" s="4" t="s">
        <v>806</v>
      </c>
      <c r="K1142" s="5">
        <v>35367</v>
      </c>
      <c r="L1142" s="4" t="s">
        <v>3964</v>
      </c>
      <c r="M1142" s="4" t="s">
        <v>9</v>
      </c>
      <c r="N1142" s="5">
        <v>42072</v>
      </c>
      <c r="O1142" s="5" t="s">
        <v>2224</v>
      </c>
      <c r="P1142" s="4" t="s">
        <v>2224</v>
      </c>
      <c r="Q1142" s="4" t="s">
        <v>3965</v>
      </c>
      <c r="R1142" s="4" t="s">
        <v>2226</v>
      </c>
      <c r="S1142" s="4" t="s">
        <v>2227</v>
      </c>
      <c r="T1142" s="4" t="s">
        <v>2228</v>
      </c>
      <c r="U1142" s="4" t="s">
        <v>2237</v>
      </c>
      <c r="V1142" s="4" t="s">
        <v>8</v>
      </c>
      <c r="W1142" s="4" t="s">
        <v>2278</v>
      </c>
      <c r="X1142" s="4" t="s">
        <v>2224</v>
      </c>
      <c r="Y1142" s="4" t="s">
        <v>2239</v>
      </c>
      <c r="Z1142" s="6">
        <v>16081.7</v>
      </c>
      <c r="AA1142" s="6">
        <v>192980.4</v>
      </c>
      <c r="AB1142" s="4" t="s">
        <v>2232</v>
      </c>
      <c r="AC1142" s="7" t="s">
        <v>2224</v>
      </c>
    </row>
    <row r="1143" spans="1:29" ht="15" customHeight="1" collapsed="1" thickBot="1" x14ac:dyDescent="0.3">
      <c r="A1143" s="20" t="str">
        <f>CONCATENATE("685"," - ","MS", " ","Sebueng"," ", "Tau")</f>
        <v>685 - MS Sebueng Tau</v>
      </c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2"/>
    </row>
    <row r="1144" spans="1:29" ht="15" hidden="1" customHeight="1" outlineLevel="1" thickBot="1" x14ac:dyDescent="0.3">
      <c r="A1144" s="4" t="s">
        <v>3966</v>
      </c>
      <c r="B1144" s="4" t="s">
        <v>773</v>
      </c>
      <c r="C1144" s="4" t="s">
        <v>2220</v>
      </c>
      <c r="D1144" s="5">
        <v>42962.549999999996</v>
      </c>
      <c r="E1144" s="4" t="s">
        <v>2221</v>
      </c>
      <c r="F1144" s="4" t="s">
        <v>2222</v>
      </c>
      <c r="G1144" s="4" t="s">
        <v>813</v>
      </c>
      <c r="H1144" s="4" t="s">
        <v>800</v>
      </c>
      <c r="I1144" s="4" t="s">
        <v>2194</v>
      </c>
      <c r="J1144" s="4" t="s">
        <v>2193</v>
      </c>
      <c r="K1144" s="5">
        <v>32744</v>
      </c>
      <c r="L1144" s="4" t="s">
        <v>3967</v>
      </c>
      <c r="M1144" s="4" t="s">
        <v>9</v>
      </c>
      <c r="N1144" s="5">
        <v>42887</v>
      </c>
      <c r="O1144" s="5" t="s">
        <v>2224</v>
      </c>
      <c r="P1144" s="4" t="s">
        <v>2224</v>
      </c>
      <c r="Q1144" s="4" t="s">
        <v>2912</v>
      </c>
      <c r="R1144" s="4" t="s">
        <v>2226</v>
      </c>
      <c r="S1144" s="4" t="s">
        <v>2227</v>
      </c>
      <c r="T1144" s="4" t="s">
        <v>2228</v>
      </c>
      <c r="U1144" s="4" t="s">
        <v>2237</v>
      </c>
      <c r="V1144" s="4" t="s">
        <v>8</v>
      </c>
      <c r="W1144" s="4" t="s">
        <v>2238</v>
      </c>
      <c r="X1144" s="4" t="s">
        <v>2224</v>
      </c>
      <c r="Y1144" s="4" t="s">
        <v>2239</v>
      </c>
      <c r="Z1144" s="6">
        <v>15883.16</v>
      </c>
      <c r="AA1144" s="6">
        <v>190597.92</v>
      </c>
      <c r="AB1144" s="4" t="s">
        <v>2224</v>
      </c>
      <c r="AC1144" s="7" t="s">
        <v>2244</v>
      </c>
    </row>
    <row r="1145" spans="1:29" ht="15" customHeight="1" collapsed="1" thickBot="1" x14ac:dyDescent="0.3">
      <c r="A1145" s="20" t="str">
        <f>CONCATENATE("686"," - ","MR", " ","Rodney"," ", "Taylor")</f>
        <v>686 - MR Rodney Taylor</v>
      </c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2"/>
    </row>
    <row r="1146" spans="1:29" ht="15" hidden="1" customHeight="1" outlineLevel="1" thickBot="1" x14ac:dyDescent="0.3">
      <c r="A1146" s="4" t="s">
        <v>3968</v>
      </c>
      <c r="B1146" s="4" t="s">
        <v>619</v>
      </c>
      <c r="C1146" s="4" t="s">
        <v>2220</v>
      </c>
      <c r="D1146" s="5">
        <v>42963.288888888885</v>
      </c>
      <c r="E1146" s="4" t="s">
        <v>2221</v>
      </c>
      <c r="F1146" s="4" t="s">
        <v>2222</v>
      </c>
      <c r="G1146" s="4" t="s">
        <v>2014</v>
      </c>
      <c r="H1146" s="4" t="s">
        <v>844</v>
      </c>
      <c r="I1146" s="4" t="s">
        <v>1367</v>
      </c>
      <c r="J1146" s="4" t="s">
        <v>1934</v>
      </c>
      <c r="K1146" s="5">
        <v>26548</v>
      </c>
      <c r="L1146" s="4" t="s">
        <v>3969</v>
      </c>
      <c r="M1146" s="4" t="s">
        <v>9</v>
      </c>
      <c r="N1146" s="5">
        <v>42278</v>
      </c>
      <c r="O1146" s="5" t="s">
        <v>2224</v>
      </c>
      <c r="P1146" s="4" t="s">
        <v>2224</v>
      </c>
      <c r="Q1146" s="4" t="s">
        <v>2403</v>
      </c>
      <c r="R1146" s="4" t="s">
        <v>2226</v>
      </c>
      <c r="S1146" s="4" t="s">
        <v>2227</v>
      </c>
      <c r="T1146" s="4" t="s">
        <v>2228</v>
      </c>
      <c r="U1146" s="4" t="s">
        <v>2258</v>
      </c>
      <c r="V1146" s="4" t="s">
        <v>246</v>
      </c>
      <c r="W1146" s="4" t="s">
        <v>2249</v>
      </c>
      <c r="X1146" s="4" t="s">
        <v>2224</v>
      </c>
      <c r="Y1146" s="4" t="s">
        <v>2259</v>
      </c>
      <c r="Z1146" s="6">
        <v>68050.454400000002</v>
      </c>
      <c r="AA1146" s="6">
        <v>816605.45</v>
      </c>
      <c r="AB1146" s="4" t="s">
        <v>2232</v>
      </c>
      <c r="AC1146" s="7" t="s">
        <v>2224</v>
      </c>
    </row>
    <row r="1147" spans="1:29" ht="15" customHeight="1" collapsed="1" thickBot="1" x14ac:dyDescent="0.3">
      <c r="A1147" s="20" t="str">
        <f>CONCATENATE("687"," - ","MISS", " ","Lerato"," ", "Thaane")</f>
        <v>687 - MISS Lerato Thaane</v>
      </c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2"/>
    </row>
    <row r="1148" spans="1:29" ht="15" hidden="1" customHeight="1" outlineLevel="1" thickBot="1" x14ac:dyDescent="0.3">
      <c r="A1148" s="4" t="s">
        <v>3970</v>
      </c>
      <c r="B1148" s="4" t="s">
        <v>344</v>
      </c>
      <c r="C1148" s="4" t="s">
        <v>2220</v>
      </c>
      <c r="D1148" s="5">
        <v>42962.549999999996</v>
      </c>
      <c r="E1148" s="4" t="s">
        <v>2221</v>
      </c>
      <c r="F1148" s="4" t="s">
        <v>2222</v>
      </c>
      <c r="G1148" s="4" t="s">
        <v>2234</v>
      </c>
      <c r="H1148" s="4" t="s">
        <v>826</v>
      </c>
      <c r="I1148" s="4" t="s">
        <v>1428</v>
      </c>
      <c r="J1148" s="4" t="s">
        <v>1427</v>
      </c>
      <c r="K1148" s="5">
        <v>32901</v>
      </c>
      <c r="L1148" s="4" t="s">
        <v>3971</v>
      </c>
      <c r="M1148" s="4" t="s">
        <v>9</v>
      </c>
      <c r="N1148" s="5">
        <v>41292</v>
      </c>
      <c r="O1148" s="5" t="s">
        <v>2224</v>
      </c>
      <c r="P1148" s="4" t="s">
        <v>2224</v>
      </c>
      <c r="Q1148" s="4" t="s">
        <v>3972</v>
      </c>
      <c r="R1148" s="4" t="s">
        <v>2226</v>
      </c>
      <c r="S1148" s="4" t="s">
        <v>2227</v>
      </c>
      <c r="T1148" s="4" t="s">
        <v>2228</v>
      </c>
      <c r="U1148" s="4" t="s">
        <v>2237</v>
      </c>
      <c r="V1148" s="4" t="s">
        <v>125</v>
      </c>
      <c r="W1148" s="4" t="s">
        <v>2230</v>
      </c>
      <c r="X1148" s="4" t="s">
        <v>2224</v>
      </c>
      <c r="Y1148" s="4" t="s">
        <v>2239</v>
      </c>
      <c r="Z1148" s="6">
        <v>20140.25</v>
      </c>
      <c r="AA1148" s="6">
        <v>241683</v>
      </c>
      <c r="AB1148" s="4" t="s">
        <v>2232</v>
      </c>
      <c r="AC1148" s="7" t="s">
        <v>2224</v>
      </c>
    </row>
    <row r="1149" spans="1:29" ht="15" customHeight="1" collapsed="1" thickBot="1" x14ac:dyDescent="0.3">
      <c r="A1149" s="20" t="str">
        <f>CONCATENATE("688"," - ","MISS", " ","Boitumelo"," ", "Thabang")</f>
        <v>688 - MISS Boitumelo Thabang</v>
      </c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2"/>
    </row>
    <row r="1150" spans="1:29" ht="15" hidden="1" customHeight="1" outlineLevel="1" thickBot="1" x14ac:dyDescent="0.3">
      <c r="A1150" s="4" t="s">
        <v>3973</v>
      </c>
      <c r="B1150" s="4" t="s">
        <v>546</v>
      </c>
      <c r="C1150" s="4" t="s">
        <v>2220</v>
      </c>
      <c r="D1150" s="5">
        <v>42962.549999999996</v>
      </c>
      <c r="E1150" s="4" t="s">
        <v>2221</v>
      </c>
      <c r="F1150" s="4" t="s">
        <v>2222</v>
      </c>
      <c r="G1150" s="4" t="s">
        <v>2234</v>
      </c>
      <c r="H1150" s="4" t="s">
        <v>791</v>
      </c>
      <c r="I1150" s="4" t="s">
        <v>1222</v>
      </c>
      <c r="J1150" s="4" t="s">
        <v>1817</v>
      </c>
      <c r="K1150" s="5">
        <v>34087</v>
      </c>
      <c r="L1150" s="4" t="s">
        <v>3974</v>
      </c>
      <c r="M1150" s="4" t="s">
        <v>9</v>
      </c>
      <c r="N1150" s="5">
        <v>42072</v>
      </c>
      <c r="O1150" s="5" t="s">
        <v>2224</v>
      </c>
      <c r="P1150" s="4" t="s">
        <v>2224</v>
      </c>
      <c r="Q1150" s="4" t="s">
        <v>3975</v>
      </c>
      <c r="R1150" s="4" t="s">
        <v>2226</v>
      </c>
      <c r="S1150" s="4" t="s">
        <v>2227</v>
      </c>
      <c r="T1150" s="4" t="s">
        <v>2228</v>
      </c>
      <c r="U1150" s="4" t="s">
        <v>2237</v>
      </c>
      <c r="V1150" s="4" t="s">
        <v>8</v>
      </c>
      <c r="W1150" s="4" t="s">
        <v>2278</v>
      </c>
      <c r="X1150" s="4" t="s">
        <v>2224</v>
      </c>
      <c r="Y1150" s="4" t="s">
        <v>2239</v>
      </c>
      <c r="Z1150" s="6">
        <v>16081.7</v>
      </c>
      <c r="AA1150" s="6">
        <v>192980.4</v>
      </c>
      <c r="AB1150" s="4" t="s">
        <v>2232</v>
      </c>
      <c r="AC1150" s="7" t="s">
        <v>2224</v>
      </c>
    </row>
    <row r="1151" spans="1:29" ht="15" customHeight="1" collapsed="1" thickBot="1" x14ac:dyDescent="0.3">
      <c r="A1151" s="20" t="str">
        <f>CONCATENATE("689"," - ","MS", " ","Primrose"," ", "Thebe")</f>
        <v>689 - MS Primrose Thebe</v>
      </c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2"/>
    </row>
    <row r="1152" spans="1:29" ht="15" hidden="1" customHeight="1" outlineLevel="1" thickBot="1" x14ac:dyDescent="0.3">
      <c r="A1152" s="4" t="s">
        <v>3976</v>
      </c>
      <c r="B1152" s="4" t="s">
        <v>687</v>
      </c>
      <c r="C1152" s="4" t="s">
        <v>2220</v>
      </c>
      <c r="D1152" s="5">
        <v>42962.549999999996</v>
      </c>
      <c r="E1152" s="4" t="s">
        <v>2221</v>
      </c>
      <c r="F1152" s="4" t="s">
        <v>2222</v>
      </c>
      <c r="G1152" s="4" t="s">
        <v>813</v>
      </c>
      <c r="H1152" s="4" t="s">
        <v>1238</v>
      </c>
      <c r="I1152" s="4" t="s">
        <v>2042</v>
      </c>
      <c r="J1152" s="4" t="s">
        <v>2041</v>
      </c>
      <c r="K1152" s="5">
        <v>33819</v>
      </c>
      <c r="L1152" s="4" t="s">
        <v>3977</v>
      </c>
      <c r="M1152" s="4" t="s">
        <v>9</v>
      </c>
      <c r="N1152" s="5">
        <v>42494</v>
      </c>
      <c r="O1152" s="5" t="s">
        <v>2224</v>
      </c>
      <c r="P1152" s="4" t="s">
        <v>2224</v>
      </c>
      <c r="Q1152" s="4" t="s">
        <v>3978</v>
      </c>
      <c r="R1152" s="4" t="s">
        <v>2226</v>
      </c>
      <c r="S1152" s="4" t="s">
        <v>2227</v>
      </c>
      <c r="T1152" s="4" t="s">
        <v>2228</v>
      </c>
      <c r="U1152" s="4" t="s">
        <v>2237</v>
      </c>
      <c r="V1152" s="4" t="s">
        <v>8</v>
      </c>
      <c r="W1152" s="4" t="s">
        <v>2278</v>
      </c>
      <c r="X1152" s="4" t="s">
        <v>2224</v>
      </c>
      <c r="Y1152" s="4" t="s">
        <v>2239</v>
      </c>
      <c r="Z1152" s="6">
        <v>16081.7</v>
      </c>
      <c r="AA1152" s="6">
        <v>192980.4</v>
      </c>
      <c r="AB1152" s="4" t="s">
        <v>2232</v>
      </c>
      <c r="AC1152" s="7" t="s">
        <v>2224</v>
      </c>
    </row>
    <row r="1153" spans="1:29" ht="15" customHeight="1" collapsed="1" thickBot="1" x14ac:dyDescent="0.3">
      <c r="A1153" s="20" t="str">
        <f>CONCATENATE("69"," - ","MR", " ","Tertius"," ", "Botma")</f>
        <v>69 - MR Tertius Botma</v>
      </c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2"/>
    </row>
    <row r="1154" spans="1:29" ht="15" hidden="1" customHeight="1" outlineLevel="1" thickBot="1" x14ac:dyDescent="0.3">
      <c r="A1154" s="4" t="s">
        <v>3979</v>
      </c>
      <c r="B1154" s="4" t="s">
        <v>179</v>
      </c>
      <c r="C1154" s="4" t="s">
        <v>2220</v>
      </c>
      <c r="D1154" s="5">
        <v>42962.529166666667</v>
      </c>
      <c r="E1154" s="4" t="s">
        <v>2221</v>
      </c>
      <c r="F1154" s="4" t="s">
        <v>2222</v>
      </c>
      <c r="G1154" s="4" t="s">
        <v>2014</v>
      </c>
      <c r="H1154" s="4" t="s">
        <v>819</v>
      </c>
      <c r="I1154" s="4" t="s">
        <v>1118</v>
      </c>
      <c r="J1154" s="4" t="s">
        <v>1117</v>
      </c>
      <c r="K1154" s="5">
        <v>27109</v>
      </c>
      <c r="L1154" s="4" t="s">
        <v>3980</v>
      </c>
      <c r="M1154" s="4" t="s">
        <v>9</v>
      </c>
      <c r="N1154" s="5">
        <v>39405</v>
      </c>
      <c r="O1154" s="5" t="s">
        <v>2224</v>
      </c>
      <c r="P1154" s="4" t="s">
        <v>2224</v>
      </c>
      <c r="Q1154" s="4" t="s">
        <v>3981</v>
      </c>
      <c r="R1154" s="4" t="s">
        <v>2226</v>
      </c>
      <c r="S1154" s="4" t="s">
        <v>2227</v>
      </c>
      <c r="T1154" s="4" t="s">
        <v>2228</v>
      </c>
      <c r="U1154" s="4" t="s">
        <v>2258</v>
      </c>
      <c r="V1154" s="4" t="s">
        <v>13</v>
      </c>
      <c r="W1154" s="4" t="s">
        <v>2249</v>
      </c>
      <c r="X1154" s="4" t="s">
        <v>2224</v>
      </c>
      <c r="Y1154" s="4" t="s">
        <v>2259</v>
      </c>
      <c r="Z1154" s="6">
        <v>123647.0616</v>
      </c>
      <c r="AA1154" s="6">
        <v>1483764.74</v>
      </c>
      <c r="AB1154" s="4" t="s">
        <v>2232</v>
      </c>
      <c r="AC1154" s="7" t="s">
        <v>2224</v>
      </c>
    </row>
    <row r="1155" spans="1:29" ht="15" customHeight="1" collapsed="1" thickBot="1" x14ac:dyDescent="0.3">
      <c r="A1155" s="20" t="str">
        <f>CONCATENATE("692"," - ","MISS", " ","Segametse"," ", "Thubisi")</f>
        <v>692 - MISS Segametse Thubisi</v>
      </c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2"/>
    </row>
    <row r="1156" spans="1:29" ht="15" hidden="1" customHeight="1" outlineLevel="1" thickBot="1" x14ac:dyDescent="0.3">
      <c r="A1156" s="4" t="s">
        <v>3982</v>
      </c>
      <c r="B1156" s="4" t="s">
        <v>62</v>
      </c>
      <c r="C1156" s="4" t="s">
        <v>2220</v>
      </c>
      <c r="D1156" s="5">
        <v>42962.461805555555</v>
      </c>
      <c r="E1156" s="4" t="s">
        <v>2221</v>
      </c>
      <c r="F1156" s="4" t="s">
        <v>2222</v>
      </c>
      <c r="G1156" s="4" t="s">
        <v>2234</v>
      </c>
      <c r="H1156" s="4" t="s">
        <v>883</v>
      </c>
      <c r="I1156" s="4" t="s">
        <v>884</v>
      </c>
      <c r="J1156" s="4" t="s">
        <v>882</v>
      </c>
      <c r="K1156" s="5">
        <v>29304</v>
      </c>
      <c r="L1156" s="4" t="s">
        <v>3983</v>
      </c>
      <c r="M1156" s="4" t="s">
        <v>9</v>
      </c>
      <c r="N1156" s="5">
        <v>38992</v>
      </c>
      <c r="O1156" s="5" t="s">
        <v>2224</v>
      </c>
      <c r="P1156" s="4" t="s">
        <v>2224</v>
      </c>
      <c r="Q1156" s="4" t="s">
        <v>3984</v>
      </c>
      <c r="R1156" s="4" t="s">
        <v>2226</v>
      </c>
      <c r="S1156" s="4" t="s">
        <v>2227</v>
      </c>
      <c r="T1156" s="4" t="s">
        <v>2228</v>
      </c>
      <c r="U1156" s="4" t="s">
        <v>2229</v>
      </c>
      <c r="V1156" s="4" t="s">
        <v>25</v>
      </c>
      <c r="W1156" s="4" t="s">
        <v>2278</v>
      </c>
      <c r="X1156" s="4" t="s">
        <v>2224</v>
      </c>
      <c r="Y1156" s="4" t="s">
        <v>2449</v>
      </c>
      <c r="Z1156" s="6">
        <v>17112.2621</v>
      </c>
      <c r="AA1156" s="6">
        <v>205347.15</v>
      </c>
      <c r="AB1156" s="4" t="s">
        <v>2232</v>
      </c>
      <c r="AC1156" s="7" t="s">
        <v>2224</v>
      </c>
    </row>
    <row r="1157" spans="1:29" ht="15" customHeight="1" collapsed="1" thickBot="1" x14ac:dyDescent="0.3">
      <c r="A1157" s="20" t="str">
        <f>CONCATENATE("693"," - ","MR", " ","GRANT"," ", "Timms")</f>
        <v>693 - MR GRANT Timms</v>
      </c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2"/>
    </row>
    <row r="1158" spans="1:29" ht="15" hidden="1" customHeight="1" outlineLevel="1" thickBot="1" x14ac:dyDescent="0.3">
      <c r="A1158" s="4" t="s">
        <v>3985</v>
      </c>
      <c r="B1158" s="4" t="s">
        <v>199</v>
      </c>
      <c r="C1158" s="4" t="s">
        <v>2220</v>
      </c>
      <c r="D1158" s="5">
        <v>42963.279166666667</v>
      </c>
      <c r="E1158" s="4" t="s">
        <v>2221</v>
      </c>
      <c r="F1158" s="4" t="s">
        <v>2222</v>
      </c>
      <c r="G1158" s="4" t="s">
        <v>2014</v>
      </c>
      <c r="H1158" s="4" t="s">
        <v>1150</v>
      </c>
      <c r="I1158" s="4" t="s">
        <v>1151</v>
      </c>
      <c r="J1158" s="4" t="s">
        <v>1149</v>
      </c>
      <c r="K1158" s="5">
        <v>30984</v>
      </c>
      <c r="L1158" s="4" t="s">
        <v>3986</v>
      </c>
      <c r="M1158" s="4" t="s">
        <v>9</v>
      </c>
      <c r="N1158" s="5">
        <v>39539</v>
      </c>
      <c r="O1158" s="5" t="s">
        <v>2224</v>
      </c>
      <c r="P1158" s="4" t="s">
        <v>2224</v>
      </c>
      <c r="Q1158" s="4" t="s">
        <v>3987</v>
      </c>
      <c r="R1158" s="4" t="s">
        <v>2226</v>
      </c>
      <c r="S1158" s="4" t="s">
        <v>2227</v>
      </c>
      <c r="T1158" s="4" t="s">
        <v>2228</v>
      </c>
      <c r="U1158" s="4" t="s">
        <v>2248</v>
      </c>
      <c r="V1158" s="4" t="s">
        <v>130</v>
      </c>
      <c r="W1158" s="4" t="s">
        <v>2249</v>
      </c>
      <c r="X1158" s="4" t="s">
        <v>2224</v>
      </c>
      <c r="Y1158" s="4" t="s">
        <v>2259</v>
      </c>
      <c r="Z1158" s="6">
        <v>27666.338100000001</v>
      </c>
      <c r="AA1158" s="6">
        <v>331996.06</v>
      </c>
      <c r="AB1158" s="4" t="s">
        <v>2232</v>
      </c>
      <c r="AC1158" s="7" t="s">
        <v>2224</v>
      </c>
    </row>
    <row r="1159" spans="1:29" ht="15" customHeight="1" collapsed="1" thickBot="1" x14ac:dyDescent="0.3">
      <c r="A1159" s="20" t="str">
        <f>CONCATENATE("694"," - ","MR", " ","Mohau"," ", "Tlhapuletsa")</f>
        <v>694 - MR Mohau Tlhapuletsa</v>
      </c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2"/>
    </row>
    <row r="1160" spans="1:29" ht="15" hidden="1" customHeight="1" outlineLevel="1" thickBot="1" x14ac:dyDescent="0.3">
      <c r="A1160" s="4" t="s">
        <v>3988</v>
      </c>
      <c r="B1160" s="4" t="s">
        <v>555</v>
      </c>
      <c r="C1160" s="4" t="s">
        <v>2220</v>
      </c>
      <c r="D1160" s="5">
        <v>42963.288888888885</v>
      </c>
      <c r="E1160" s="4" t="s">
        <v>2221</v>
      </c>
      <c r="F1160" s="4" t="s">
        <v>2222</v>
      </c>
      <c r="G1160" s="4" t="s">
        <v>2014</v>
      </c>
      <c r="H1160" s="4" t="s">
        <v>788</v>
      </c>
      <c r="I1160" s="4" t="s">
        <v>1830</v>
      </c>
      <c r="J1160" s="4" t="s">
        <v>1829</v>
      </c>
      <c r="K1160" s="5">
        <v>32519</v>
      </c>
      <c r="L1160" s="4" t="s">
        <v>3989</v>
      </c>
      <c r="M1160" s="4" t="s">
        <v>9</v>
      </c>
      <c r="N1160" s="5">
        <v>42171</v>
      </c>
      <c r="O1160" s="5" t="s">
        <v>2224</v>
      </c>
      <c r="P1160" s="4" t="s">
        <v>2224</v>
      </c>
      <c r="Q1160" s="4" t="s">
        <v>3990</v>
      </c>
      <c r="R1160" s="4" t="s">
        <v>2226</v>
      </c>
      <c r="S1160" s="4" t="s">
        <v>2227</v>
      </c>
      <c r="T1160" s="4" t="s">
        <v>2228</v>
      </c>
      <c r="U1160" s="4" t="s">
        <v>2258</v>
      </c>
      <c r="V1160" s="4" t="s">
        <v>257</v>
      </c>
      <c r="W1160" s="4" t="s">
        <v>2249</v>
      </c>
      <c r="X1160" s="4" t="s">
        <v>2224</v>
      </c>
      <c r="Y1160" s="4" t="s">
        <v>2259</v>
      </c>
      <c r="Z1160" s="6">
        <v>62470.32</v>
      </c>
      <c r="AA1160" s="6">
        <v>749643.84</v>
      </c>
      <c r="AB1160" s="4" t="s">
        <v>2232</v>
      </c>
      <c r="AC1160" s="7" t="s">
        <v>2224</v>
      </c>
    </row>
    <row r="1161" spans="1:29" ht="15" customHeight="1" collapsed="1" thickBot="1" x14ac:dyDescent="0.3">
      <c r="A1161" s="20" t="str">
        <f>CONCATENATE("696"," - ","MISS", " ","Zanele"," ", "Todlwana")</f>
        <v>696 - MISS Zanele Todlwana</v>
      </c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2"/>
    </row>
    <row r="1162" spans="1:29" ht="15" hidden="1" customHeight="1" outlineLevel="1" thickBot="1" x14ac:dyDescent="0.3">
      <c r="A1162" s="4" t="s">
        <v>3991</v>
      </c>
      <c r="B1162" s="4" t="s">
        <v>439</v>
      </c>
      <c r="C1162" s="4" t="s">
        <v>2220</v>
      </c>
      <c r="D1162" s="5">
        <v>42948.648611111108</v>
      </c>
      <c r="E1162" s="4" t="s">
        <v>2221</v>
      </c>
      <c r="F1162" s="4" t="s">
        <v>2222</v>
      </c>
      <c r="G1162" s="4" t="s">
        <v>2234</v>
      </c>
      <c r="H1162" s="4" t="s">
        <v>1610</v>
      </c>
      <c r="I1162" s="4" t="s">
        <v>1611</v>
      </c>
      <c r="J1162" s="4" t="s">
        <v>1609</v>
      </c>
      <c r="K1162" s="5">
        <v>32496</v>
      </c>
      <c r="L1162" s="4" t="s">
        <v>3992</v>
      </c>
      <c r="M1162" s="4" t="s">
        <v>9</v>
      </c>
      <c r="N1162" s="5">
        <v>41652</v>
      </c>
      <c r="O1162" s="5" t="s">
        <v>2224</v>
      </c>
      <c r="P1162" s="4" t="s">
        <v>2224</v>
      </c>
      <c r="Q1162" s="4" t="s">
        <v>3993</v>
      </c>
      <c r="R1162" s="4" t="s">
        <v>2226</v>
      </c>
      <c r="S1162" s="4" t="s">
        <v>2227</v>
      </c>
      <c r="T1162" s="4" t="s">
        <v>2228</v>
      </c>
      <c r="U1162" s="4" t="s">
        <v>2229</v>
      </c>
      <c r="V1162" s="4" t="s">
        <v>25</v>
      </c>
      <c r="W1162" s="4" t="s">
        <v>2278</v>
      </c>
      <c r="X1162" s="4" t="s">
        <v>2224</v>
      </c>
      <c r="Y1162" s="4" t="s">
        <v>2423</v>
      </c>
      <c r="Z1162" s="6">
        <v>3735.67</v>
      </c>
      <c r="AA1162" s="6">
        <v>44828.04</v>
      </c>
      <c r="AB1162" s="4" t="s">
        <v>2232</v>
      </c>
      <c r="AC1162" s="7" t="s">
        <v>2224</v>
      </c>
    </row>
    <row r="1163" spans="1:29" ht="15" customHeight="1" collapsed="1" thickBot="1" x14ac:dyDescent="0.3">
      <c r="A1163" s="20" t="str">
        <f>CONCATENATE("698"," - ","MRS", " ","Luyanda"," ", "Tshabalala")</f>
        <v>698 - MRS Luyanda Tshabalala</v>
      </c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2"/>
    </row>
    <row r="1164" spans="1:29" ht="15" hidden="1" customHeight="1" outlineLevel="1" thickBot="1" x14ac:dyDescent="0.3">
      <c r="A1164" s="4" t="s">
        <v>3994</v>
      </c>
      <c r="B1164" s="4" t="s">
        <v>391</v>
      </c>
      <c r="C1164" s="4" t="s">
        <v>2220</v>
      </c>
      <c r="D1164" s="5">
        <v>42962.549999999996</v>
      </c>
      <c r="E1164" s="4" t="s">
        <v>2221</v>
      </c>
      <c r="F1164" s="4" t="s">
        <v>2222</v>
      </c>
      <c r="G1164" s="4" t="s">
        <v>2280</v>
      </c>
      <c r="H1164" s="4" t="s">
        <v>1105</v>
      </c>
      <c r="I1164" s="4" t="s">
        <v>1510</v>
      </c>
      <c r="J1164" s="4" t="s">
        <v>1509</v>
      </c>
      <c r="K1164" s="5">
        <v>31875</v>
      </c>
      <c r="L1164" s="4" t="s">
        <v>3995</v>
      </c>
      <c r="M1164" s="4" t="s">
        <v>9</v>
      </c>
      <c r="N1164" s="5">
        <v>41478</v>
      </c>
      <c r="O1164" s="5" t="s">
        <v>2224</v>
      </c>
      <c r="P1164" s="4" t="s">
        <v>2224</v>
      </c>
      <c r="Q1164" s="4" t="s">
        <v>3996</v>
      </c>
      <c r="R1164" s="4" t="s">
        <v>2226</v>
      </c>
      <c r="S1164" s="4" t="s">
        <v>2227</v>
      </c>
      <c r="T1164" s="4" t="s">
        <v>2228</v>
      </c>
      <c r="U1164" s="4" t="s">
        <v>2237</v>
      </c>
      <c r="V1164" s="4" t="s">
        <v>125</v>
      </c>
      <c r="W1164" s="4" t="s">
        <v>2230</v>
      </c>
      <c r="X1164" s="4" t="s">
        <v>2224</v>
      </c>
      <c r="Y1164" s="4" t="s">
        <v>2239</v>
      </c>
      <c r="Z1164" s="6">
        <v>20646.896499999999</v>
      </c>
      <c r="AA1164" s="6">
        <v>247762.76</v>
      </c>
      <c r="AB1164" s="4" t="s">
        <v>2232</v>
      </c>
      <c r="AC1164" s="7" t="s">
        <v>2224</v>
      </c>
    </row>
    <row r="1165" spans="1:29" ht="15" customHeight="1" collapsed="1" thickBot="1" x14ac:dyDescent="0.3">
      <c r="A1165" s="20" t="str">
        <f>CONCATENATE("70"," - ","MR", " ","Robert"," ", "Brand")</f>
        <v>70 - MR Robert Brand</v>
      </c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2"/>
    </row>
    <row r="1166" spans="1:29" ht="15" hidden="1" customHeight="1" outlineLevel="1" thickBot="1" x14ac:dyDescent="0.3">
      <c r="A1166" s="4" t="s">
        <v>3997</v>
      </c>
      <c r="B1166" s="4" t="s">
        <v>56</v>
      </c>
      <c r="C1166" s="4" t="s">
        <v>2220</v>
      </c>
      <c r="D1166" s="5">
        <v>42957.4</v>
      </c>
      <c r="E1166" s="4" t="s">
        <v>2221</v>
      </c>
      <c r="F1166" s="4" t="s">
        <v>2222</v>
      </c>
      <c r="G1166" s="4" t="s">
        <v>2014</v>
      </c>
      <c r="H1166" s="4" t="s">
        <v>844</v>
      </c>
      <c r="I1166" s="4" t="s">
        <v>870</v>
      </c>
      <c r="J1166" s="4" t="s">
        <v>869</v>
      </c>
      <c r="K1166" s="5">
        <v>26387</v>
      </c>
      <c r="L1166" s="4" t="s">
        <v>3998</v>
      </c>
      <c r="M1166" s="4" t="s">
        <v>9</v>
      </c>
      <c r="N1166" s="5">
        <v>38992</v>
      </c>
      <c r="O1166" s="5" t="s">
        <v>2224</v>
      </c>
      <c r="P1166" s="4" t="s">
        <v>2224</v>
      </c>
      <c r="Q1166" s="4" t="s">
        <v>3999</v>
      </c>
      <c r="R1166" s="4" t="s">
        <v>2226</v>
      </c>
      <c r="S1166" s="4" t="s">
        <v>2227</v>
      </c>
      <c r="T1166" s="4" t="s">
        <v>2228</v>
      </c>
      <c r="U1166" s="4" t="s">
        <v>2258</v>
      </c>
      <c r="V1166" s="4" t="s">
        <v>13</v>
      </c>
      <c r="W1166" s="4" t="s">
        <v>2249</v>
      </c>
      <c r="X1166" s="4" t="s">
        <v>2224</v>
      </c>
      <c r="Y1166" s="4" t="s">
        <v>2259</v>
      </c>
      <c r="Z1166" s="6">
        <v>116515.39</v>
      </c>
      <c r="AA1166" s="6">
        <v>1398184.68</v>
      </c>
      <c r="AB1166" s="4" t="s">
        <v>2232</v>
      </c>
      <c r="AC1166" s="7" t="s">
        <v>2224</v>
      </c>
    </row>
    <row r="1167" spans="1:29" ht="15" customHeight="1" collapsed="1" thickBot="1" x14ac:dyDescent="0.3">
      <c r="A1167" s="20" t="str">
        <f>CONCATENATE("700"," - ","MS", " ","Tebogo"," ", "Tshiya")</f>
        <v>700 - MS Tebogo Tshiya</v>
      </c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2"/>
    </row>
    <row r="1168" spans="1:29" ht="15" hidden="1" customHeight="1" outlineLevel="1" thickBot="1" x14ac:dyDescent="0.3">
      <c r="A1168" s="4" t="s">
        <v>4000</v>
      </c>
      <c r="B1168" s="4" t="s">
        <v>690</v>
      </c>
      <c r="C1168" s="4" t="s">
        <v>2220</v>
      </c>
      <c r="D1168" s="5">
        <v>42962.549999999996</v>
      </c>
      <c r="E1168" s="4" t="s">
        <v>2221</v>
      </c>
      <c r="F1168" s="4" t="s">
        <v>2222</v>
      </c>
      <c r="G1168" s="4" t="s">
        <v>813</v>
      </c>
      <c r="H1168" s="4" t="s">
        <v>819</v>
      </c>
      <c r="I1168" s="4" t="s">
        <v>1262</v>
      </c>
      <c r="J1168" s="4" t="s">
        <v>2048</v>
      </c>
      <c r="K1168" s="5">
        <v>31056</v>
      </c>
      <c r="L1168" s="4" t="s">
        <v>4001</v>
      </c>
      <c r="M1168" s="4" t="s">
        <v>9</v>
      </c>
      <c r="N1168" s="5">
        <v>42494</v>
      </c>
      <c r="O1168" s="5" t="s">
        <v>2224</v>
      </c>
      <c r="P1168" s="4" t="s">
        <v>2224</v>
      </c>
      <c r="Q1168" s="4" t="s">
        <v>4002</v>
      </c>
      <c r="R1168" s="4" t="s">
        <v>2226</v>
      </c>
      <c r="S1168" s="4" t="s">
        <v>2227</v>
      </c>
      <c r="T1168" s="4" t="s">
        <v>2228</v>
      </c>
      <c r="U1168" s="4" t="s">
        <v>2237</v>
      </c>
      <c r="V1168" s="4" t="s">
        <v>8</v>
      </c>
      <c r="W1168" s="4" t="s">
        <v>2278</v>
      </c>
      <c r="X1168" s="4" t="s">
        <v>2224</v>
      </c>
      <c r="Y1168" s="4" t="s">
        <v>2239</v>
      </c>
      <c r="Z1168" s="6">
        <v>16081.7</v>
      </c>
      <c r="AA1168" s="6">
        <v>192980.4</v>
      </c>
      <c r="AB1168" s="4" t="s">
        <v>2232</v>
      </c>
      <c r="AC1168" s="7" t="s">
        <v>2224</v>
      </c>
    </row>
    <row r="1169" spans="1:29" ht="15" customHeight="1" collapsed="1" thickBot="1" x14ac:dyDescent="0.3">
      <c r="A1169" s="20" t="str">
        <f>CONCATENATE("701"," - ","MR", " ","Pieter"," ", "Uys")</f>
        <v>701 - MR Pieter Uys</v>
      </c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2"/>
    </row>
    <row r="1170" spans="1:29" ht="15" hidden="1" customHeight="1" outlineLevel="1" thickBot="1" x14ac:dyDescent="0.3">
      <c r="A1170" s="4" t="s">
        <v>4003</v>
      </c>
      <c r="B1170" s="4" t="s">
        <v>106</v>
      </c>
      <c r="C1170" s="4" t="s">
        <v>2220</v>
      </c>
      <c r="D1170" s="5">
        <v>42962.527777777774</v>
      </c>
      <c r="E1170" s="4" t="s">
        <v>2221</v>
      </c>
      <c r="F1170" s="4" t="s">
        <v>2222</v>
      </c>
      <c r="G1170" s="4" t="s">
        <v>2014</v>
      </c>
      <c r="H1170" s="4" t="s">
        <v>977</v>
      </c>
      <c r="I1170" s="4" t="s">
        <v>978</v>
      </c>
      <c r="J1170" s="4" t="s">
        <v>976</v>
      </c>
      <c r="K1170" s="5">
        <v>23713</v>
      </c>
      <c r="L1170" s="4" t="s">
        <v>4004</v>
      </c>
      <c r="M1170" s="4" t="s">
        <v>9</v>
      </c>
      <c r="N1170" s="5">
        <v>39022</v>
      </c>
      <c r="O1170" s="5" t="s">
        <v>2224</v>
      </c>
      <c r="P1170" s="4" t="s">
        <v>2224</v>
      </c>
      <c r="Q1170" s="4" t="s">
        <v>4005</v>
      </c>
      <c r="R1170" s="4" t="s">
        <v>2226</v>
      </c>
      <c r="S1170" s="4" t="s">
        <v>2227</v>
      </c>
      <c r="T1170" s="4" t="s">
        <v>2228</v>
      </c>
      <c r="U1170" s="4" t="s">
        <v>2258</v>
      </c>
      <c r="V1170" s="4" t="s">
        <v>13</v>
      </c>
      <c r="W1170" s="4" t="s">
        <v>2249</v>
      </c>
      <c r="X1170" s="4" t="s">
        <v>2224</v>
      </c>
      <c r="Y1170" s="4" t="s">
        <v>2259</v>
      </c>
      <c r="Z1170" s="6">
        <v>126120.0024</v>
      </c>
      <c r="AA1170" s="6">
        <v>1513440.03</v>
      </c>
      <c r="AB1170" s="4" t="s">
        <v>2232</v>
      </c>
      <c r="AC1170" s="7" t="s">
        <v>2224</v>
      </c>
    </row>
    <row r="1171" spans="1:29" ht="15" customHeight="1" collapsed="1" thickBot="1" x14ac:dyDescent="0.3">
      <c r="A1171" s="20" t="str">
        <f>CONCATENATE("702"," - ","MR", " ","Pieter"," ", "Van Der Berg")</f>
        <v>702 - MR Pieter Van Der Berg</v>
      </c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2"/>
    </row>
    <row r="1172" spans="1:29" ht="15" hidden="1" customHeight="1" outlineLevel="1" thickBot="1" x14ac:dyDescent="0.3">
      <c r="A1172" s="4" t="s">
        <v>4006</v>
      </c>
      <c r="B1172" s="4" t="s">
        <v>307</v>
      </c>
      <c r="C1172" s="4" t="s">
        <v>2220</v>
      </c>
      <c r="D1172" s="5">
        <v>42963.284722222219</v>
      </c>
      <c r="E1172" s="4" t="s">
        <v>2221</v>
      </c>
      <c r="F1172" s="4" t="s">
        <v>2222</v>
      </c>
      <c r="G1172" s="4" t="s">
        <v>2014</v>
      </c>
      <c r="H1172" s="4" t="s">
        <v>1357</v>
      </c>
      <c r="I1172" s="4" t="s">
        <v>978</v>
      </c>
      <c r="J1172" s="4" t="s">
        <v>1356</v>
      </c>
      <c r="K1172" s="5">
        <v>28739</v>
      </c>
      <c r="L1172" s="4" t="s">
        <v>4007</v>
      </c>
      <c r="M1172" s="4" t="s">
        <v>9</v>
      </c>
      <c r="N1172" s="5">
        <v>41092</v>
      </c>
      <c r="O1172" s="5" t="s">
        <v>2224</v>
      </c>
      <c r="P1172" s="4" t="s">
        <v>2224</v>
      </c>
      <c r="Q1172" s="4" t="s">
        <v>4008</v>
      </c>
      <c r="R1172" s="4" t="s">
        <v>2226</v>
      </c>
      <c r="S1172" s="4" t="s">
        <v>2227</v>
      </c>
      <c r="T1172" s="4" t="s">
        <v>2228</v>
      </c>
      <c r="U1172" s="4" t="s">
        <v>2258</v>
      </c>
      <c r="V1172" s="4" t="s">
        <v>246</v>
      </c>
      <c r="W1172" s="4" t="s">
        <v>2249</v>
      </c>
      <c r="X1172" s="4" t="s">
        <v>2224</v>
      </c>
      <c r="Y1172" s="4" t="s">
        <v>2259</v>
      </c>
      <c r="Z1172" s="6">
        <v>69411.47</v>
      </c>
      <c r="AA1172" s="6">
        <v>832937.64</v>
      </c>
      <c r="AB1172" s="4" t="s">
        <v>2232</v>
      </c>
      <c r="AC1172" s="7" t="s">
        <v>2224</v>
      </c>
    </row>
    <row r="1173" spans="1:29" ht="15" customHeight="1" collapsed="1" thickBot="1" x14ac:dyDescent="0.3">
      <c r="A1173" s="20" t="str">
        <f>CONCATENATE("703"," - ","MRS", " ","Carrie"," ", "Van der Merwe")</f>
        <v>703 - MRS Carrie Van der Merwe</v>
      </c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2"/>
    </row>
    <row r="1174" spans="1:29" ht="15" hidden="1" customHeight="1" outlineLevel="1" thickBot="1" x14ac:dyDescent="0.3">
      <c r="A1174" s="4" t="s">
        <v>4009</v>
      </c>
      <c r="B1174" s="4" t="s">
        <v>351</v>
      </c>
      <c r="C1174" s="4" t="s">
        <v>2220</v>
      </c>
      <c r="D1174" s="5">
        <v>42962.536805555552</v>
      </c>
      <c r="E1174" s="4" t="s">
        <v>2221</v>
      </c>
      <c r="F1174" s="4" t="s">
        <v>2222</v>
      </c>
      <c r="G1174" s="4" t="s">
        <v>2280</v>
      </c>
      <c r="H1174" s="4" t="s">
        <v>743</v>
      </c>
      <c r="I1174" s="4" t="s">
        <v>1442</v>
      </c>
      <c r="J1174" s="4" t="s">
        <v>1441</v>
      </c>
      <c r="K1174" s="5">
        <v>31678</v>
      </c>
      <c r="L1174" s="4" t="s">
        <v>4010</v>
      </c>
      <c r="M1174" s="4" t="s">
        <v>9</v>
      </c>
      <c r="N1174" s="5">
        <v>41307</v>
      </c>
      <c r="O1174" s="5" t="s">
        <v>2224</v>
      </c>
      <c r="P1174" s="4" t="s">
        <v>2224</v>
      </c>
      <c r="Q1174" s="4" t="s">
        <v>3179</v>
      </c>
      <c r="R1174" s="4" t="s">
        <v>2226</v>
      </c>
      <c r="S1174" s="4" t="s">
        <v>2227</v>
      </c>
      <c r="T1174" s="4" t="s">
        <v>2228</v>
      </c>
      <c r="U1174" s="4" t="s">
        <v>2237</v>
      </c>
      <c r="V1174" s="4" t="s">
        <v>8</v>
      </c>
      <c r="W1174" s="4" t="s">
        <v>2238</v>
      </c>
      <c r="X1174" s="4" t="s">
        <v>2224</v>
      </c>
      <c r="Y1174" s="4" t="s">
        <v>2239</v>
      </c>
      <c r="Z1174" s="6">
        <v>16692.34</v>
      </c>
      <c r="AA1174" s="6">
        <v>200308.08</v>
      </c>
      <c r="AB1174" s="4" t="s">
        <v>2232</v>
      </c>
      <c r="AC1174" s="7" t="s">
        <v>2224</v>
      </c>
    </row>
    <row r="1175" spans="1:29" ht="15" customHeight="1" collapsed="1" thickBot="1" x14ac:dyDescent="0.3">
      <c r="A1175" s="20" t="str">
        <f>CONCATENATE("704"," - ","MISS", " ","Robyn"," ", "Van Der Merwe")</f>
        <v>704 - MISS Robyn Van Der Merwe</v>
      </c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2"/>
    </row>
    <row r="1176" spans="1:29" ht="15" hidden="1" customHeight="1" outlineLevel="1" thickBot="1" x14ac:dyDescent="0.3">
      <c r="A1176" s="4" t="s">
        <v>4011</v>
      </c>
      <c r="B1176" s="4" t="s">
        <v>513</v>
      </c>
      <c r="C1176" s="4" t="s">
        <v>2220</v>
      </c>
      <c r="D1176" s="5">
        <v>42963.288888888885</v>
      </c>
      <c r="E1176" s="4" t="s">
        <v>2221</v>
      </c>
      <c r="F1176" s="4" t="s">
        <v>2222</v>
      </c>
      <c r="G1176" s="4" t="s">
        <v>2234</v>
      </c>
      <c r="H1176" s="4" t="s">
        <v>844</v>
      </c>
      <c r="I1176" s="4" t="s">
        <v>1638</v>
      </c>
      <c r="J1176" s="4" t="s">
        <v>1759</v>
      </c>
      <c r="K1176" s="5">
        <v>32550</v>
      </c>
      <c r="L1176" s="4" t="s">
        <v>4012</v>
      </c>
      <c r="M1176" s="4" t="s">
        <v>9</v>
      </c>
      <c r="N1176" s="5">
        <v>42088</v>
      </c>
      <c r="O1176" s="5" t="s">
        <v>2224</v>
      </c>
      <c r="P1176" s="4" t="s">
        <v>2224</v>
      </c>
      <c r="Q1176" s="4" t="s">
        <v>3945</v>
      </c>
      <c r="R1176" s="4" t="s">
        <v>2226</v>
      </c>
      <c r="S1176" s="4" t="s">
        <v>2227</v>
      </c>
      <c r="T1176" s="4" t="s">
        <v>2228</v>
      </c>
      <c r="U1176" s="4" t="s">
        <v>2258</v>
      </c>
      <c r="V1176" s="4" t="s">
        <v>257</v>
      </c>
      <c r="W1176" s="4" t="s">
        <v>2249</v>
      </c>
      <c r="X1176" s="4" t="s">
        <v>2224</v>
      </c>
      <c r="Y1176" s="4" t="s">
        <v>2259</v>
      </c>
      <c r="Z1176" s="6">
        <v>62470.321199999998</v>
      </c>
      <c r="AA1176" s="6">
        <v>749643.85</v>
      </c>
      <c r="AB1176" s="4" t="s">
        <v>2232</v>
      </c>
      <c r="AC1176" s="7" t="s">
        <v>2224</v>
      </c>
    </row>
    <row r="1177" spans="1:29" ht="15" customHeight="1" collapsed="1" thickBot="1" x14ac:dyDescent="0.3">
      <c r="A1177" s="20" t="str">
        <f>CONCATENATE("705"," - ","MR", " ","Deodat"," ", "Van Der Spuy")</f>
        <v>705 - MR Deodat Van Der Spuy</v>
      </c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2"/>
    </row>
    <row r="1178" spans="1:29" ht="15" hidden="1" customHeight="1" outlineLevel="1" thickBot="1" x14ac:dyDescent="0.3">
      <c r="A1178" s="4" t="s">
        <v>4013</v>
      </c>
      <c r="B1178" s="4" t="s">
        <v>268</v>
      </c>
      <c r="C1178" s="4" t="s">
        <v>2220</v>
      </c>
      <c r="D1178" s="5">
        <v>42963.28402777778</v>
      </c>
      <c r="E1178" s="4" t="s">
        <v>2221</v>
      </c>
      <c r="F1178" s="4" t="s">
        <v>2222</v>
      </c>
      <c r="G1178" s="4" t="s">
        <v>2014</v>
      </c>
      <c r="H1178" s="4" t="s">
        <v>1187</v>
      </c>
      <c r="I1178" s="4" t="s">
        <v>1292</v>
      </c>
      <c r="J1178" s="4" t="s">
        <v>1291</v>
      </c>
      <c r="K1178" s="5">
        <v>30384</v>
      </c>
      <c r="L1178" s="4" t="s">
        <v>4014</v>
      </c>
      <c r="M1178" s="4" t="s">
        <v>9</v>
      </c>
      <c r="N1178" s="5">
        <v>40661</v>
      </c>
      <c r="O1178" s="5" t="s">
        <v>2224</v>
      </c>
      <c r="P1178" s="4" t="s">
        <v>2224</v>
      </c>
      <c r="Q1178" s="4" t="s">
        <v>4015</v>
      </c>
      <c r="R1178" s="4" t="s">
        <v>2226</v>
      </c>
      <c r="S1178" s="4" t="s">
        <v>2227</v>
      </c>
      <c r="T1178" s="4" t="s">
        <v>2228</v>
      </c>
      <c r="U1178" s="4" t="s">
        <v>2258</v>
      </c>
      <c r="V1178" s="4" t="s">
        <v>13</v>
      </c>
      <c r="W1178" s="4" t="s">
        <v>2249</v>
      </c>
      <c r="X1178" s="4" t="s">
        <v>2224</v>
      </c>
      <c r="Y1178" s="4" t="s">
        <v>2259</v>
      </c>
      <c r="Z1178" s="6">
        <v>111990.9564</v>
      </c>
      <c r="AA1178" s="6">
        <v>1343891.48</v>
      </c>
      <c r="AB1178" s="4" t="s">
        <v>2232</v>
      </c>
      <c r="AC1178" s="7" t="s">
        <v>2224</v>
      </c>
    </row>
    <row r="1179" spans="1:29" ht="15" customHeight="1" collapsed="1" thickBot="1" x14ac:dyDescent="0.3">
      <c r="A1179" s="20" t="str">
        <f>CONCATENATE("706"," - ","MR", " ","Jaco"," ", "Van Der Westhuizen")</f>
        <v>706 - MR Jaco Van Der Westhuizen</v>
      </c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2"/>
    </row>
    <row r="1180" spans="1:29" ht="15" hidden="1" customHeight="1" outlineLevel="1" thickBot="1" x14ac:dyDescent="0.3">
      <c r="A1180" s="4" t="s">
        <v>4016</v>
      </c>
      <c r="B1180" s="4" t="s">
        <v>362</v>
      </c>
      <c r="C1180" s="4" t="s">
        <v>2220</v>
      </c>
      <c r="D1180" s="5">
        <v>42963.286111111112</v>
      </c>
      <c r="E1180" s="4" t="s">
        <v>2221</v>
      </c>
      <c r="F1180" s="4" t="s">
        <v>2222</v>
      </c>
      <c r="G1180" s="4" t="s">
        <v>2014</v>
      </c>
      <c r="H1180" s="4" t="s">
        <v>888</v>
      </c>
      <c r="I1180" s="4" t="s">
        <v>1461</v>
      </c>
      <c r="J1180" s="4" t="s">
        <v>1460</v>
      </c>
      <c r="K1180" s="5">
        <v>25223</v>
      </c>
      <c r="L1180" s="4" t="s">
        <v>4017</v>
      </c>
      <c r="M1180" s="4" t="s">
        <v>9</v>
      </c>
      <c r="N1180" s="5">
        <v>41330</v>
      </c>
      <c r="O1180" s="5" t="s">
        <v>2224</v>
      </c>
      <c r="P1180" s="4" t="s">
        <v>2224</v>
      </c>
      <c r="Q1180" s="4" t="s">
        <v>3360</v>
      </c>
      <c r="R1180" s="4" t="s">
        <v>2226</v>
      </c>
      <c r="S1180" s="4" t="s">
        <v>2227</v>
      </c>
      <c r="T1180" s="4" t="s">
        <v>2228</v>
      </c>
      <c r="U1180" s="4" t="s">
        <v>2258</v>
      </c>
      <c r="V1180" s="4" t="s">
        <v>13</v>
      </c>
      <c r="W1180" s="4" t="s">
        <v>2249</v>
      </c>
      <c r="X1180" s="4" t="s">
        <v>2224</v>
      </c>
      <c r="Y1180" s="4" t="s">
        <v>2259</v>
      </c>
      <c r="Z1180" s="6">
        <v>107642.2068</v>
      </c>
      <c r="AA1180" s="6">
        <v>1291706.48</v>
      </c>
      <c r="AB1180" s="4" t="s">
        <v>2232</v>
      </c>
      <c r="AC1180" s="7" t="s">
        <v>2224</v>
      </c>
    </row>
    <row r="1181" spans="1:29" ht="15" customHeight="1" collapsed="1" thickBot="1" x14ac:dyDescent="0.3">
      <c r="A1181" s="20" t="str">
        <f>CONCATENATE("707"," - ","MR", " ","Simon"," ", "van der westhuizen")</f>
        <v>707 - MR Simon van der westhuizen</v>
      </c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2"/>
    </row>
    <row r="1182" spans="1:29" ht="15" hidden="1" customHeight="1" outlineLevel="1" thickBot="1" x14ac:dyDescent="0.3">
      <c r="A1182" s="4" t="s">
        <v>4018</v>
      </c>
      <c r="B1182" s="4" t="s">
        <v>639</v>
      </c>
      <c r="C1182" s="4" t="s">
        <v>2220</v>
      </c>
      <c r="D1182" s="5">
        <v>42962.462500000001</v>
      </c>
      <c r="E1182" s="4" t="s">
        <v>2221</v>
      </c>
      <c r="F1182" s="4" t="s">
        <v>2222</v>
      </c>
      <c r="G1182" s="4" t="s">
        <v>2014</v>
      </c>
      <c r="H1182" s="4" t="s">
        <v>800</v>
      </c>
      <c r="I1182" s="4" t="s">
        <v>1964</v>
      </c>
      <c r="J1182" s="4" t="s">
        <v>1963</v>
      </c>
      <c r="K1182" s="5">
        <v>20747</v>
      </c>
      <c r="L1182" s="4" t="s">
        <v>4019</v>
      </c>
      <c r="M1182" s="4" t="s">
        <v>9</v>
      </c>
      <c r="N1182" s="5">
        <v>42339</v>
      </c>
      <c r="O1182" s="5" t="s">
        <v>2224</v>
      </c>
      <c r="P1182" s="4" t="s">
        <v>2224</v>
      </c>
      <c r="Q1182" s="4" t="s">
        <v>3874</v>
      </c>
      <c r="R1182" s="4" t="s">
        <v>2226</v>
      </c>
      <c r="S1182" s="4" t="s">
        <v>2227</v>
      </c>
      <c r="T1182" s="4" t="s">
        <v>2228</v>
      </c>
      <c r="U1182" s="4" t="s">
        <v>2248</v>
      </c>
      <c r="V1182" s="4" t="s">
        <v>191</v>
      </c>
      <c r="W1182" s="4" t="s">
        <v>2249</v>
      </c>
      <c r="X1182" s="4" t="s">
        <v>2224</v>
      </c>
      <c r="Y1182" s="4" t="s">
        <v>4020</v>
      </c>
      <c r="Z1182" s="6">
        <v>47646</v>
      </c>
      <c r="AA1182" s="6">
        <v>571752</v>
      </c>
      <c r="AB1182" s="4" t="s">
        <v>2232</v>
      </c>
      <c r="AC1182" s="7" t="s">
        <v>2244</v>
      </c>
    </row>
    <row r="1183" spans="1:29" ht="15" customHeight="1" collapsed="1" thickBot="1" x14ac:dyDescent="0.3">
      <c r="A1183" s="20" t="str">
        <f>CONCATENATE("708"," - ","MR", " ","Gert"," ", "Van Eeden")</f>
        <v>708 - MR Gert Van Eeden</v>
      </c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2"/>
    </row>
    <row r="1184" spans="1:29" ht="15" hidden="1" customHeight="1" outlineLevel="1" thickBot="1" x14ac:dyDescent="0.3">
      <c r="A1184" s="4" t="s">
        <v>4021</v>
      </c>
      <c r="B1184" s="4" t="s">
        <v>415</v>
      </c>
      <c r="C1184" s="4" t="s">
        <v>2220</v>
      </c>
      <c r="D1184" s="5">
        <v>42962.462500000001</v>
      </c>
      <c r="E1184" s="4" t="s">
        <v>2221</v>
      </c>
      <c r="F1184" s="4" t="s">
        <v>2222</v>
      </c>
      <c r="G1184" s="4" t="s">
        <v>2014</v>
      </c>
      <c r="H1184" s="4" t="s">
        <v>1558</v>
      </c>
      <c r="I1184" s="4" t="s">
        <v>1559</v>
      </c>
      <c r="J1184" s="4" t="s">
        <v>1557</v>
      </c>
      <c r="K1184" s="5">
        <v>23320</v>
      </c>
      <c r="L1184" s="4" t="s">
        <v>4022</v>
      </c>
      <c r="M1184" s="4" t="s">
        <v>9</v>
      </c>
      <c r="N1184" s="5">
        <v>41610</v>
      </c>
      <c r="O1184" s="5" t="s">
        <v>2224</v>
      </c>
      <c r="P1184" s="4" t="s">
        <v>2224</v>
      </c>
      <c r="Q1184" s="4" t="s">
        <v>4023</v>
      </c>
      <c r="R1184" s="4" t="s">
        <v>2226</v>
      </c>
      <c r="S1184" s="4" t="s">
        <v>2227</v>
      </c>
      <c r="T1184" s="4" t="s">
        <v>2228</v>
      </c>
      <c r="U1184" s="4" t="s">
        <v>2248</v>
      </c>
      <c r="V1184" s="4" t="s">
        <v>416</v>
      </c>
      <c r="W1184" s="4" t="s">
        <v>2249</v>
      </c>
      <c r="X1184" s="4" t="s">
        <v>2224</v>
      </c>
      <c r="Y1184" s="4" t="s">
        <v>2909</v>
      </c>
      <c r="Z1184" s="6">
        <v>62457.553200000002</v>
      </c>
      <c r="AA1184" s="6">
        <v>749490.64</v>
      </c>
      <c r="AB1184" s="4" t="s">
        <v>2232</v>
      </c>
      <c r="AC1184" s="7" t="s">
        <v>2224</v>
      </c>
    </row>
    <row r="1185" spans="1:29" ht="15" customHeight="1" collapsed="1" thickBot="1" x14ac:dyDescent="0.3">
      <c r="A1185" s="20" t="str">
        <f>CONCATENATE("709"," - ","MS", " ","Laurienne"," ", "Van Jaarsveld")</f>
        <v>709 - MS Laurienne Van Jaarsveld</v>
      </c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2"/>
    </row>
    <row r="1186" spans="1:29" ht="15" hidden="1" customHeight="1" outlineLevel="1" thickBot="1" x14ac:dyDescent="0.3">
      <c r="A1186" s="4" t="s">
        <v>4024</v>
      </c>
      <c r="B1186" s="4" t="s">
        <v>38</v>
      </c>
      <c r="C1186" s="4" t="s">
        <v>2220</v>
      </c>
      <c r="D1186" s="5">
        <v>42962.526388888888</v>
      </c>
      <c r="E1186" s="4" t="s">
        <v>2221</v>
      </c>
      <c r="F1186" s="4" t="s">
        <v>2222</v>
      </c>
      <c r="G1186" s="4" t="s">
        <v>813</v>
      </c>
      <c r="H1186" s="4" t="s">
        <v>826</v>
      </c>
      <c r="I1186" s="4" t="s">
        <v>839</v>
      </c>
      <c r="J1186" s="4" t="s">
        <v>4025</v>
      </c>
      <c r="K1186" s="5">
        <v>30928</v>
      </c>
      <c r="L1186" s="4" t="s">
        <v>4026</v>
      </c>
      <c r="M1186" s="4" t="s">
        <v>9</v>
      </c>
      <c r="N1186" s="5">
        <v>38985</v>
      </c>
      <c r="O1186" s="5" t="s">
        <v>2224</v>
      </c>
      <c r="P1186" s="4" t="s">
        <v>2224</v>
      </c>
      <c r="Q1186" s="4" t="s">
        <v>4027</v>
      </c>
      <c r="R1186" s="4" t="s">
        <v>2226</v>
      </c>
      <c r="S1186" s="4" t="s">
        <v>2227</v>
      </c>
      <c r="T1186" s="4" t="s">
        <v>2228</v>
      </c>
      <c r="U1186" s="4" t="s">
        <v>2248</v>
      </c>
      <c r="V1186" s="4" t="s">
        <v>39</v>
      </c>
      <c r="W1186" s="4" t="s">
        <v>2230</v>
      </c>
      <c r="X1186" s="4" t="s">
        <v>2224</v>
      </c>
      <c r="Y1186" s="4" t="s">
        <v>2473</v>
      </c>
      <c r="Z1186" s="6">
        <v>24210.224300000002</v>
      </c>
      <c r="AA1186" s="6">
        <v>290522.69</v>
      </c>
      <c r="AB1186" s="4" t="s">
        <v>2232</v>
      </c>
      <c r="AC1186" s="7" t="s">
        <v>2224</v>
      </c>
    </row>
    <row r="1187" spans="1:29" ht="15" customHeight="1" collapsed="1" thickBot="1" x14ac:dyDescent="0.3">
      <c r="A1187" s="20" t="str">
        <f>CONCATENATE("71"," - ","MISS", " ","Yolande"," ", "Brand")</f>
        <v>71 - MISS Yolande Brand</v>
      </c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2"/>
    </row>
    <row r="1188" spans="1:29" ht="15" hidden="1" customHeight="1" outlineLevel="1" thickBot="1" x14ac:dyDescent="0.3">
      <c r="A1188" s="4" t="s">
        <v>4028</v>
      </c>
      <c r="B1188" s="4" t="s">
        <v>261</v>
      </c>
      <c r="C1188" s="4" t="s">
        <v>2220</v>
      </c>
      <c r="D1188" s="5">
        <v>42963.283333333333</v>
      </c>
      <c r="E1188" s="4" t="s">
        <v>2221</v>
      </c>
      <c r="F1188" s="4" t="s">
        <v>2222</v>
      </c>
      <c r="G1188" s="4" t="s">
        <v>2234</v>
      </c>
      <c r="H1188" s="4" t="s">
        <v>794</v>
      </c>
      <c r="I1188" s="4" t="s">
        <v>1279</v>
      </c>
      <c r="J1188" s="4" t="s">
        <v>869</v>
      </c>
      <c r="K1188" s="5">
        <v>29664</v>
      </c>
      <c r="L1188" s="4" t="s">
        <v>4029</v>
      </c>
      <c r="M1188" s="4" t="s">
        <v>9</v>
      </c>
      <c r="N1188" s="5">
        <v>40630</v>
      </c>
      <c r="O1188" s="5" t="s">
        <v>2224</v>
      </c>
      <c r="P1188" s="4" t="s">
        <v>2224</v>
      </c>
      <c r="Q1188" s="4" t="s">
        <v>4030</v>
      </c>
      <c r="R1188" s="4" t="s">
        <v>2226</v>
      </c>
      <c r="S1188" s="4" t="s">
        <v>2227</v>
      </c>
      <c r="T1188" s="4" t="s">
        <v>2228</v>
      </c>
      <c r="U1188" s="4" t="s">
        <v>2248</v>
      </c>
      <c r="V1188" s="4" t="s">
        <v>262</v>
      </c>
      <c r="W1188" s="4" t="s">
        <v>2249</v>
      </c>
      <c r="X1188" s="4" t="s">
        <v>2224</v>
      </c>
      <c r="Y1188" s="4" t="s">
        <v>2971</v>
      </c>
      <c r="Z1188" s="6">
        <v>29081.985499999999</v>
      </c>
      <c r="AA1188" s="6">
        <v>348983.83</v>
      </c>
      <c r="AB1188" s="4" t="s">
        <v>2232</v>
      </c>
      <c r="AC1188" s="7" t="s">
        <v>2224</v>
      </c>
    </row>
    <row r="1189" spans="1:29" ht="15" customHeight="1" collapsed="1" thickBot="1" x14ac:dyDescent="0.3">
      <c r="A1189" s="20" t="str">
        <f>CONCATENATE("710"," - ","MR", " ","Pieter"," ", "van Niekerk")</f>
        <v>710 - MR Pieter van Niekerk</v>
      </c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2"/>
    </row>
    <row r="1190" spans="1:29" ht="15" hidden="1" customHeight="1" outlineLevel="1" thickBot="1" x14ac:dyDescent="0.3">
      <c r="A1190" s="4" t="s">
        <v>4031</v>
      </c>
      <c r="B1190" s="4" t="s">
        <v>660</v>
      </c>
      <c r="C1190" s="4" t="s">
        <v>2220</v>
      </c>
      <c r="D1190" s="5">
        <v>42963.290277777778</v>
      </c>
      <c r="E1190" s="4" t="s">
        <v>2221</v>
      </c>
      <c r="F1190" s="4" t="s">
        <v>2222</v>
      </c>
      <c r="G1190" s="4" t="s">
        <v>2014</v>
      </c>
      <c r="H1190" s="4" t="s">
        <v>781</v>
      </c>
      <c r="I1190" s="4" t="s">
        <v>978</v>
      </c>
      <c r="J1190" s="4" t="s">
        <v>1997</v>
      </c>
      <c r="K1190" s="5">
        <v>27853</v>
      </c>
      <c r="L1190" s="4" t="s">
        <v>4032</v>
      </c>
      <c r="M1190" s="4" t="s">
        <v>9</v>
      </c>
      <c r="N1190" s="5">
        <v>42415</v>
      </c>
      <c r="O1190" s="5" t="s">
        <v>2224</v>
      </c>
      <c r="P1190" s="4" t="s">
        <v>2224</v>
      </c>
      <c r="Q1190" s="4" t="s">
        <v>2839</v>
      </c>
      <c r="R1190" s="4" t="s">
        <v>2226</v>
      </c>
      <c r="S1190" s="4" t="s">
        <v>2227</v>
      </c>
      <c r="T1190" s="4" t="s">
        <v>2228</v>
      </c>
      <c r="U1190" s="4" t="s">
        <v>2258</v>
      </c>
      <c r="V1190" s="4" t="s">
        <v>246</v>
      </c>
      <c r="W1190" s="4" t="s">
        <v>2249</v>
      </c>
      <c r="X1190" s="4" t="s">
        <v>2224</v>
      </c>
      <c r="Y1190" s="4" t="s">
        <v>2259</v>
      </c>
      <c r="Z1190" s="6">
        <v>68050.454400000002</v>
      </c>
      <c r="AA1190" s="6">
        <v>816605.45</v>
      </c>
      <c r="AB1190" s="4" t="s">
        <v>2232</v>
      </c>
      <c r="AC1190" s="7" t="s">
        <v>2224</v>
      </c>
    </row>
    <row r="1191" spans="1:29" ht="15" customHeight="1" collapsed="1" thickBot="1" x14ac:dyDescent="0.3">
      <c r="A1191" s="20" t="str">
        <f>CONCATENATE("711"," - ","MR", " ","Richard"," ", "Van Niekerk")</f>
        <v>711 - MR Richard Van Niekerk</v>
      </c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2"/>
    </row>
    <row r="1192" spans="1:29" ht="15" hidden="1" customHeight="1" outlineLevel="1" thickBot="1" x14ac:dyDescent="0.3">
      <c r="A1192" s="4" t="s">
        <v>4033</v>
      </c>
      <c r="B1192" s="4" t="s">
        <v>204</v>
      </c>
      <c r="C1192" s="4" t="s">
        <v>2220</v>
      </c>
      <c r="D1192" s="5">
        <v>42963.279861111107</v>
      </c>
      <c r="E1192" s="4" t="s">
        <v>2221</v>
      </c>
      <c r="F1192" s="4" t="s">
        <v>2222</v>
      </c>
      <c r="G1192" s="4" t="s">
        <v>2014</v>
      </c>
      <c r="H1192" s="4" t="s">
        <v>1160</v>
      </c>
      <c r="I1192" s="4" t="s">
        <v>783</v>
      </c>
      <c r="J1192" s="4" t="s">
        <v>1159</v>
      </c>
      <c r="K1192" s="5">
        <v>29613</v>
      </c>
      <c r="L1192" s="4" t="s">
        <v>4034</v>
      </c>
      <c r="M1192" s="4" t="s">
        <v>9</v>
      </c>
      <c r="N1192" s="5">
        <v>39630</v>
      </c>
      <c r="O1192" s="5" t="s">
        <v>2224</v>
      </c>
      <c r="P1192" s="4" t="s">
        <v>2224</v>
      </c>
      <c r="Q1192" s="4" t="s">
        <v>2961</v>
      </c>
      <c r="R1192" s="4" t="s">
        <v>2226</v>
      </c>
      <c r="S1192" s="4" t="s">
        <v>2227</v>
      </c>
      <c r="T1192" s="4" t="s">
        <v>2228</v>
      </c>
      <c r="U1192" s="4" t="s">
        <v>2258</v>
      </c>
      <c r="V1192" s="4" t="s">
        <v>13</v>
      </c>
      <c r="W1192" s="4" t="s">
        <v>2249</v>
      </c>
      <c r="X1192" s="4" t="s">
        <v>2224</v>
      </c>
      <c r="Y1192" s="4" t="s">
        <v>2259</v>
      </c>
      <c r="Z1192" s="6">
        <v>114230.7684</v>
      </c>
      <c r="AA1192" s="6">
        <v>1370769.22</v>
      </c>
      <c r="AB1192" s="4" t="s">
        <v>2232</v>
      </c>
      <c r="AC1192" s="7" t="s">
        <v>2224</v>
      </c>
    </row>
    <row r="1193" spans="1:29" ht="15" customHeight="1" collapsed="1" thickBot="1" x14ac:dyDescent="0.3">
      <c r="A1193" s="20" t="str">
        <f>CONCATENATE("712"," - ","MR", " ","Willem"," ", "Van Niekerk")</f>
        <v>712 - MR Willem Van Niekerk</v>
      </c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2"/>
    </row>
    <row r="1194" spans="1:29" ht="15" hidden="1" customHeight="1" outlineLevel="1" thickBot="1" x14ac:dyDescent="0.3">
      <c r="A1194" s="4" t="s">
        <v>4035</v>
      </c>
      <c r="B1194" s="4" t="s">
        <v>653</v>
      </c>
      <c r="C1194" s="4" t="s">
        <v>2220</v>
      </c>
      <c r="D1194" s="5">
        <v>42963.289583333331</v>
      </c>
      <c r="E1194" s="4" t="s">
        <v>2221</v>
      </c>
      <c r="F1194" s="4" t="s">
        <v>2222</v>
      </c>
      <c r="G1194" s="4" t="s">
        <v>2014</v>
      </c>
      <c r="H1194" s="4" t="s">
        <v>745</v>
      </c>
      <c r="I1194" s="4" t="s">
        <v>1987</v>
      </c>
      <c r="J1194" s="4" t="s">
        <v>1159</v>
      </c>
      <c r="K1194" s="5">
        <v>30073</v>
      </c>
      <c r="L1194" s="4" t="s">
        <v>4036</v>
      </c>
      <c r="M1194" s="4" t="s">
        <v>9</v>
      </c>
      <c r="N1194" s="5">
        <v>42370</v>
      </c>
      <c r="O1194" s="5" t="s">
        <v>2224</v>
      </c>
      <c r="P1194" s="4" t="s">
        <v>2224</v>
      </c>
      <c r="Q1194" s="4" t="s">
        <v>3933</v>
      </c>
      <c r="R1194" s="4" t="s">
        <v>2226</v>
      </c>
      <c r="S1194" s="4" t="s">
        <v>2227</v>
      </c>
      <c r="T1194" s="4" t="s">
        <v>2228</v>
      </c>
      <c r="U1194" s="4" t="s">
        <v>2258</v>
      </c>
      <c r="V1194" s="4" t="s">
        <v>246</v>
      </c>
      <c r="W1194" s="4" t="s">
        <v>2249</v>
      </c>
      <c r="X1194" s="4" t="s">
        <v>2224</v>
      </c>
      <c r="Y1194" s="4" t="s">
        <v>2259</v>
      </c>
      <c r="Z1194" s="6">
        <v>68050.454400000002</v>
      </c>
      <c r="AA1194" s="6">
        <v>816605.45</v>
      </c>
      <c r="AB1194" s="4" t="s">
        <v>2232</v>
      </c>
      <c r="AC1194" s="7" t="s">
        <v>2224</v>
      </c>
    </row>
    <row r="1195" spans="1:29" ht="15" customHeight="1" collapsed="1" thickBot="1" x14ac:dyDescent="0.3">
      <c r="A1195" s="20" t="str">
        <f>CONCATENATE("713"," - ","MISS", " ","Yolanda"," ", "Van Niekerk")</f>
        <v>713 - MISS Yolanda Van Niekerk</v>
      </c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2"/>
    </row>
    <row r="1196" spans="1:29" ht="15" hidden="1" customHeight="1" outlineLevel="1" thickBot="1" x14ac:dyDescent="0.3">
      <c r="A1196" s="4" t="s">
        <v>4037</v>
      </c>
      <c r="B1196" s="4" t="s">
        <v>291</v>
      </c>
      <c r="C1196" s="4" t="s">
        <v>2220</v>
      </c>
      <c r="D1196" s="5">
        <v>42962.549999999996</v>
      </c>
      <c r="E1196" s="4" t="s">
        <v>2221</v>
      </c>
      <c r="F1196" s="4" t="s">
        <v>2222</v>
      </c>
      <c r="G1196" s="4" t="s">
        <v>2234</v>
      </c>
      <c r="H1196" s="4" t="s">
        <v>794</v>
      </c>
      <c r="I1196" s="4" t="s">
        <v>1330</v>
      </c>
      <c r="J1196" s="4" t="s">
        <v>1159</v>
      </c>
      <c r="K1196" s="5">
        <v>33321</v>
      </c>
      <c r="L1196" s="4" t="s">
        <v>4038</v>
      </c>
      <c r="M1196" s="4" t="s">
        <v>9</v>
      </c>
      <c r="N1196" s="5">
        <v>40868</v>
      </c>
      <c r="O1196" s="5" t="s">
        <v>2224</v>
      </c>
      <c r="P1196" s="4" t="s">
        <v>2224</v>
      </c>
      <c r="Q1196" s="4" t="s">
        <v>4039</v>
      </c>
      <c r="R1196" s="4" t="s">
        <v>2226</v>
      </c>
      <c r="S1196" s="4" t="s">
        <v>2227</v>
      </c>
      <c r="T1196" s="4" t="s">
        <v>2228</v>
      </c>
      <c r="U1196" s="4" t="s">
        <v>2237</v>
      </c>
      <c r="V1196" s="4" t="s">
        <v>125</v>
      </c>
      <c r="W1196" s="4" t="s">
        <v>2230</v>
      </c>
      <c r="X1196" s="4" t="s">
        <v>2224</v>
      </c>
      <c r="Y1196" s="4" t="s">
        <v>2239</v>
      </c>
      <c r="Z1196" s="6">
        <v>20140.240000000002</v>
      </c>
      <c r="AA1196" s="6">
        <v>241682.88</v>
      </c>
      <c r="AB1196" s="4" t="s">
        <v>2232</v>
      </c>
      <c r="AC1196" s="7" t="s">
        <v>2224</v>
      </c>
    </row>
    <row r="1197" spans="1:29" ht="15" customHeight="1" collapsed="1" thickBot="1" x14ac:dyDescent="0.3">
      <c r="A1197" s="20" t="str">
        <f>CONCATENATE("714"," - ","MR", " ","Stefanus"," ", "Van Rensburg")</f>
        <v>714 - MR Stefanus Van Rensburg</v>
      </c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2"/>
    </row>
    <row r="1198" spans="1:29" ht="15" hidden="1" customHeight="1" outlineLevel="1" thickBot="1" x14ac:dyDescent="0.3">
      <c r="A1198" s="4" t="s">
        <v>4040</v>
      </c>
      <c r="B1198" s="4" t="s">
        <v>332</v>
      </c>
      <c r="C1198" s="4" t="s">
        <v>2220</v>
      </c>
      <c r="D1198" s="5">
        <v>42962.549999999996</v>
      </c>
      <c r="E1198" s="4" t="s">
        <v>2221</v>
      </c>
      <c r="F1198" s="4" t="s">
        <v>2222</v>
      </c>
      <c r="G1198" s="4" t="s">
        <v>2014</v>
      </c>
      <c r="H1198" s="4" t="s">
        <v>1030</v>
      </c>
      <c r="I1198" s="4" t="s">
        <v>1406</v>
      </c>
      <c r="J1198" s="4" t="s">
        <v>1405</v>
      </c>
      <c r="K1198" s="5">
        <v>33365</v>
      </c>
      <c r="L1198" s="4" t="s">
        <v>4041</v>
      </c>
      <c r="M1198" s="4" t="s">
        <v>9</v>
      </c>
      <c r="N1198" s="5">
        <v>41226</v>
      </c>
      <c r="O1198" s="5" t="s">
        <v>2224</v>
      </c>
      <c r="P1198" s="4" t="s">
        <v>2224</v>
      </c>
      <c r="Q1198" s="4" t="s">
        <v>4042</v>
      </c>
      <c r="R1198" s="4" t="s">
        <v>2226</v>
      </c>
      <c r="S1198" s="4" t="s">
        <v>2227</v>
      </c>
      <c r="T1198" s="4" t="s">
        <v>2228</v>
      </c>
      <c r="U1198" s="4" t="s">
        <v>2237</v>
      </c>
      <c r="V1198" s="4" t="s">
        <v>125</v>
      </c>
      <c r="W1198" s="4" t="s">
        <v>2230</v>
      </c>
      <c r="X1198" s="4" t="s">
        <v>2224</v>
      </c>
      <c r="Y1198" s="4" t="s">
        <v>2239</v>
      </c>
      <c r="Z1198" s="6">
        <v>20392</v>
      </c>
      <c r="AA1198" s="6">
        <v>244704</v>
      </c>
      <c r="AB1198" s="4" t="s">
        <v>2232</v>
      </c>
      <c r="AC1198" s="7" t="s">
        <v>2224</v>
      </c>
    </row>
    <row r="1199" spans="1:29" ht="15" customHeight="1" collapsed="1" thickBot="1" x14ac:dyDescent="0.3">
      <c r="A1199" s="20" t="str">
        <f>CONCATENATE("715"," - ","MISS", " ","Patricia"," ", "Van Rooyen")</f>
        <v>715 - MISS Patricia Van Rooyen</v>
      </c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2"/>
    </row>
    <row r="1200" spans="1:29" ht="15" hidden="1" customHeight="1" outlineLevel="1" thickBot="1" x14ac:dyDescent="0.3">
      <c r="A1200" s="4" t="s">
        <v>4043</v>
      </c>
      <c r="B1200" s="4" t="s">
        <v>84</v>
      </c>
      <c r="C1200" s="4" t="s">
        <v>2220</v>
      </c>
      <c r="D1200" s="5">
        <v>42962.461111111108</v>
      </c>
      <c r="E1200" s="4" t="s">
        <v>2221</v>
      </c>
      <c r="F1200" s="4" t="s">
        <v>2222</v>
      </c>
      <c r="G1200" s="4" t="s">
        <v>2234</v>
      </c>
      <c r="H1200" s="4" t="s">
        <v>781</v>
      </c>
      <c r="I1200" s="4" t="s">
        <v>847</v>
      </c>
      <c r="J1200" s="4" t="s">
        <v>926</v>
      </c>
      <c r="K1200" s="5">
        <v>30621</v>
      </c>
      <c r="L1200" s="4" t="s">
        <v>4044</v>
      </c>
      <c r="M1200" s="4" t="s">
        <v>9</v>
      </c>
      <c r="N1200" s="5">
        <v>39020</v>
      </c>
      <c r="O1200" s="5" t="s">
        <v>2224</v>
      </c>
      <c r="P1200" s="4" t="s">
        <v>2224</v>
      </c>
      <c r="Q1200" s="4" t="s">
        <v>4045</v>
      </c>
      <c r="R1200" s="4" t="s">
        <v>2226</v>
      </c>
      <c r="S1200" s="4" t="s">
        <v>2227</v>
      </c>
      <c r="T1200" s="4" t="s">
        <v>2228</v>
      </c>
      <c r="U1200" s="4" t="s">
        <v>2229</v>
      </c>
      <c r="V1200" s="4" t="s">
        <v>17</v>
      </c>
      <c r="W1200" s="4" t="s">
        <v>2230</v>
      </c>
      <c r="X1200" s="4" t="s">
        <v>2224</v>
      </c>
      <c r="Y1200" s="4" t="s">
        <v>2380</v>
      </c>
      <c r="Z1200" s="6">
        <v>19891.612099999998</v>
      </c>
      <c r="AA1200" s="6">
        <v>238699.35</v>
      </c>
      <c r="AB1200" s="4" t="s">
        <v>2232</v>
      </c>
      <c r="AC1200" s="7" t="s">
        <v>2224</v>
      </c>
    </row>
    <row r="1201" spans="1:29" ht="15" customHeight="1" collapsed="1" thickBot="1" x14ac:dyDescent="0.3">
      <c r="A1201" s="20" t="str">
        <f>CONCATENATE("716"," - ","MR", " ","Adam"," ", "Van Schalkwyk")</f>
        <v>716 - MR Adam Van Schalkwyk</v>
      </c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2"/>
    </row>
    <row r="1202" spans="1:29" ht="15" hidden="1" customHeight="1" outlineLevel="1" thickBot="1" x14ac:dyDescent="0.3">
      <c r="A1202" s="4" t="s">
        <v>4046</v>
      </c>
      <c r="B1202" s="4" t="s">
        <v>247</v>
      </c>
      <c r="C1202" s="4" t="s">
        <v>2220</v>
      </c>
      <c r="D1202" s="5">
        <v>42963.282638888886</v>
      </c>
      <c r="E1202" s="4" t="s">
        <v>2221</v>
      </c>
      <c r="F1202" s="4" t="s">
        <v>2222</v>
      </c>
      <c r="G1202" s="4" t="s">
        <v>2014</v>
      </c>
      <c r="H1202" s="4" t="s">
        <v>742</v>
      </c>
      <c r="I1202" s="4" t="s">
        <v>1251</v>
      </c>
      <c r="J1202" s="4" t="s">
        <v>1250</v>
      </c>
      <c r="K1202" s="5">
        <v>27970</v>
      </c>
      <c r="L1202" s="4" t="s">
        <v>4047</v>
      </c>
      <c r="M1202" s="4" t="s">
        <v>9</v>
      </c>
      <c r="N1202" s="5">
        <v>40510</v>
      </c>
      <c r="O1202" s="5" t="s">
        <v>2224</v>
      </c>
      <c r="P1202" s="4" t="s">
        <v>2224</v>
      </c>
      <c r="Q1202" s="4" t="s">
        <v>4048</v>
      </c>
      <c r="R1202" s="4" t="s">
        <v>2226</v>
      </c>
      <c r="S1202" s="4" t="s">
        <v>2227</v>
      </c>
      <c r="T1202" s="4" t="s">
        <v>2228</v>
      </c>
      <c r="U1202" s="4" t="s">
        <v>2258</v>
      </c>
      <c r="V1202" s="4" t="s">
        <v>13</v>
      </c>
      <c r="W1202" s="4" t="s">
        <v>2249</v>
      </c>
      <c r="X1202" s="4" t="s">
        <v>2224</v>
      </c>
      <c r="Y1202" s="4" t="s">
        <v>2259</v>
      </c>
      <c r="Z1202" s="6">
        <v>105531.5736</v>
      </c>
      <c r="AA1202" s="6">
        <v>1266378.8799999999</v>
      </c>
      <c r="AB1202" s="4" t="s">
        <v>2232</v>
      </c>
      <c r="AC1202" s="7" t="s">
        <v>2224</v>
      </c>
    </row>
    <row r="1203" spans="1:29" ht="15" customHeight="1" collapsed="1" thickBot="1" x14ac:dyDescent="0.3">
      <c r="A1203" s="20" t="str">
        <f>CONCATENATE("717"," - ","MISS", " ","Bianca"," ", "Van Schoor")</f>
        <v>717 - MISS Bianca Van Schoor</v>
      </c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2"/>
    </row>
    <row r="1204" spans="1:29" ht="15" hidden="1" customHeight="1" outlineLevel="1" thickBot="1" x14ac:dyDescent="0.3">
      <c r="A1204" s="4" t="s">
        <v>4049</v>
      </c>
      <c r="B1204" s="4" t="s">
        <v>336</v>
      </c>
      <c r="C1204" s="4" t="s">
        <v>2220</v>
      </c>
      <c r="D1204" s="5">
        <v>42962.549999999996</v>
      </c>
      <c r="E1204" s="4" t="s">
        <v>2221</v>
      </c>
      <c r="F1204" s="4" t="s">
        <v>2222</v>
      </c>
      <c r="G1204" s="4" t="s">
        <v>2234</v>
      </c>
      <c r="H1204" s="4" t="s">
        <v>791</v>
      </c>
      <c r="I1204" s="4" t="s">
        <v>1006</v>
      </c>
      <c r="J1204" s="4" t="s">
        <v>1413</v>
      </c>
      <c r="K1204" s="5">
        <v>33464</v>
      </c>
      <c r="L1204" s="4" t="s">
        <v>4050</v>
      </c>
      <c r="M1204" s="4" t="s">
        <v>9</v>
      </c>
      <c r="N1204" s="5">
        <v>41281</v>
      </c>
      <c r="O1204" s="5" t="s">
        <v>2224</v>
      </c>
      <c r="P1204" s="4" t="s">
        <v>2224</v>
      </c>
      <c r="Q1204" s="4" t="s">
        <v>4051</v>
      </c>
      <c r="R1204" s="4" t="s">
        <v>2226</v>
      </c>
      <c r="S1204" s="4" t="s">
        <v>2227</v>
      </c>
      <c r="T1204" s="4" t="s">
        <v>2228</v>
      </c>
      <c r="U1204" s="4" t="s">
        <v>2237</v>
      </c>
      <c r="V1204" s="4" t="s">
        <v>125</v>
      </c>
      <c r="W1204" s="4" t="s">
        <v>2230</v>
      </c>
      <c r="X1204" s="4" t="s">
        <v>2224</v>
      </c>
      <c r="Y1204" s="4" t="s">
        <v>2239</v>
      </c>
      <c r="Z1204" s="6">
        <v>20392</v>
      </c>
      <c r="AA1204" s="6">
        <v>244704</v>
      </c>
      <c r="AB1204" s="4" t="s">
        <v>2232</v>
      </c>
      <c r="AC1204" s="7" t="s">
        <v>2224</v>
      </c>
    </row>
    <row r="1205" spans="1:29" ht="15" customHeight="1" collapsed="1" thickBot="1" x14ac:dyDescent="0.3">
      <c r="A1205" s="20" t="str">
        <f>CONCATENATE("718"," - ","MISS", " ","Isabella"," ", "Van Staden")</f>
        <v>718 - MISS Isabella Van Staden</v>
      </c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2"/>
    </row>
    <row r="1206" spans="1:29" ht="15" hidden="1" customHeight="1" outlineLevel="1" thickBot="1" x14ac:dyDescent="0.3">
      <c r="A1206" s="4" t="s">
        <v>4052</v>
      </c>
      <c r="B1206" s="4" t="s">
        <v>572</v>
      </c>
      <c r="C1206" s="4" t="s">
        <v>2220</v>
      </c>
      <c r="D1206" s="5">
        <v>42962.462500000001</v>
      </c>
      <c r="E1206" s="4" t="s">
        <v>2221</v>
      </c>
      <c r="F1206" s="4" t="s">
        <v>2222</v>
      </c>
      <c r="G1206" s="4" t="s">
        <v>2234</v>
      </c>
      <c r="H1206" s="4" t="s">
        <v>1864</v>
      </c>
      <c r="I1206" s="4" t="s">
        <v>1865</v>
      </c>
      <c r="J1206" s="4" t="s">
        <v>1308</v>
      </c>
      <c r="K1206" s="5">
        <v>24642</v>
      </c>
      <c r="L1206" s="4" t="s">
        <v>4053</v>
      </c>
      <c r="M1206" s="4" t="s">
        <v>9</v>
      </c>
      <c r="N1206" s="5">
        <v>42125</v>
      </c>
      <c r="O1206" s="5" t="s">
        <v>2224</v>
      </c>
      <c r="P1206" s="4" t="s">
        <v>2224</v>
      </c>
      <c r="Q1206" s="4" t="s">
        <v>4054</v>
      </c>
      <c r="R1206" s="4" t="s">
        <v>2226</v>
      </c>
      <c r="S1206" s="4" t="s">
        <v>2227</v>
      </c>
      <c r="T1206" s="4" t="s">
        <v>2228</v>
      </c>
      <c r="U1206" s="4" t="s">
        <v>2248</v>
      </c>
      <c r="V1206" s="4" t="s">
        <v>467</v>
      </c>
      <c r="W1206" s="4" t="s">
        <v>2249</v>
      </c>
      <c r="X1206" s="4" t="s">
        <v>2224</v>
      </c>
      <c r="Y1206" s="4" t="s">
        <v>2254</v>
      </c>
      <c r="Z1206" s="6">
        <v>76444</v>
      </c>
      <c r="AA1206" s="6">
        <v>917328</v>
      </c>
      <c r="AB1206" s="4" t="s">
        <v>2232</v>
      </c>
      <c r="AC1206" s="7" t="s">
        <v>2224</v>
      </c>
    </row>
    <row r="1207" spans="1:29" ht="15" customHeight="1" collapsed="1" thickBot="1" x14ac:dyDescent="0.3">
      <c r="A1207" s="20" t="str">
        <f>CONCATENATE("719"," - ","MISS", " ","Lelanie"," ", "Van Staden")</f>
        <v>719 - MISS Lelanie Van Staden</v>
      </c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2"/>
    </row>
    <row r="1208" spans="1:29" ht="15" hidden="1" customHeight="1" outlineLevel="1" thickBot="1" x14ac:dyDescent="0.3">
      <c r="A1208" s="4" t="s">
        <v>4055</v>
      </c>
      <c r="B1208" s="4" t="s">
        <v>276</v>
      </c>
      <c r="C1208" s="4" t="s">
        <v>2220</v>
      </c>
      <c r="D1208" s="5">
        <v>42962.463194444441</v>
      </c>
      <c r="E1208" s="4" t="s">
        <v>2221</v>
      </c>
      <c r="F1208" s="4" t="s">
        <v>2222</v>
      </c>
      <c r="G1208" s="4" t="s">
        <v>2234</v>
      </c>
      <c r="H1208" s="4" t="s">
        <v>826</v>
      </c>
      <c r="I1208" s="4" t="s">
        <v>1309</v>
      </c>
      <c r="J1208" s="4" t="s">
        <v>1308</v>
      </c>
      <c r="K1208" s="5">
        <v>31079</v>
      </c>
      <c r="L1208" s="4" t="s">
        <v>4056</v>
      </c>
      <c r="M1208" s="4" t="s">
        <v>9</v>
      </c>
      <c r="N1208" s="5">
        <v>40787</v>
      </c>
      <c r="O1208" s="5" t="s">
        <v>2224</v>
      </c>
      <c r="P1208" s="4" t="s">
        <v>2224</v>
      </c>
      <c r="Q1208" s="4" t="s">
        <v>3410</v>
      </c>
      <c r="R1208" s="4" t="s">
        <v>2226</v>
      </c>
      <c r="S1208" s="4" t="s">
        <v>2227</v>
      </c>
      <c r="T1208" s="4" t="s">
        <v>2228</v>
      </c>
      <c r="U1208" s="4" t="s">
        <v>2248</v>
      </c>
      <c r="V1208" s="4" t="s">
        <v>277</v>
      </c>
      <c r="W1208" s="4" t="s">
        <v>2230</v>
      </c>
      <c r="X1208" s="4" t="s">
        <v>2224</v>
      </c>
      <c r="Y1208" s="4" t="s">
        <v>2290</v>
      </c>
      <c r="Z1208" s="6">
        <v>23346.54</v>
      </c>
      <c r="AA1208" s="6">
        <v>280158.48</v>
      </c>
      <c r="AB1208" s="4" t="s">
        <v>2232</v>
      </c>
      <c r="AC1208" s="7" t="s">
        <v>2224</v>
      </c>
    </row>
    <row r="1209" spans="1:29" ht="15" customHeight="1" collapsed="1" thickBot="1" x14ac:dyDescent="0.3">
      <c r="A1209" s="20" t="str">
        <f>CONCATENATE("72"," - ","MISS", " ","Lisa"," ", "Brink")</f>
        <v>72 - MISS Lisa Brink</v>
      </c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2"/>
    </row>
    <row r="1210" spans="1:29" ht="15" hidden="1" customHeight="1" outlineLevel="1" thickBot="1" x14ac:dyDescent="0.3">
      <c r="A1210" s="4" t="s">
        <v>4057</v>
      </c>
      <c r="B1210" s="4" t="s">
        <v>487</v>
      </c>
      <c r="C1210" s="4" t="s">
        <v>2220</v>
      </c>
      <c r="D1210" s="5">
        <v>42962.549999999996</v>
      </c>
      <c r="E1210" s="4" t="s">
        <v>2221</v>
      </c>
      <c r="F1210" s="4" t="s">
        <v>2222</v>
      </c>
      <c r="G1210" s="4" t="s">
        <v>2234</v>
      </c>
      <c r="H1210" s="4" t="s">
        <v>826</v>
      </c>
      <c r="I1210" s="4" t="s">
        <v>1630</v>
      </c>
      <c r="J1210" s="4" t="s">
        <v>1707</v>
      </c>
      <c r="K1210" s="5">
        <v>34303</v>
      </c>
      <c r="L1210" s="4" t="s">
        <v>4058</v>
      </c>
      <c r="M1210" s="4" t="s">
        <v>9</v>
      </c>
      <c r="N1210" s="5">
        <v>41918</v>
      </c>
      <c r="O1210" s="5" t="s">
        <v>2224</v>
      </c>
      <c r="P1210" s="4" t="s">
        <v>2224</v>
      </c>
      <c r="Q1210" s="4" t="s">
        <v>4059</v>
      </c>
      <c r="R1210" s="4" t="s">
        <v>2226</v>
      </c>
      <c r="S1210" s="4" t="s">
        <v>2227</v>
      </c>
      <c r="T1210" s="4" t="s">
        <v>2228</v>
      </c>
      <c r="U1210" s="4" t="s">
        <v>2237</v>
      </c>
      <c r="V1210" s="4" t="s">
        <v>8</v>
      </c>
      <c r="W1210" s="4" t="s">
        <v>2278</v>
      </c>
      <c r="X1210" s="4" t="s">
        <v>2224</v>
      </c>
      <c r="Y1210" s="4" t="s">
        <v>2239</v>
      </c>
      <c r="Z1210" s="6">
        <v>16282.72</v>
      </c>
      <c r="AA1210" s="6">
        <v>195392.64000000001</v>
      </c>
      <c r="AB1210" s="4" t="s">
        <v>2232</v>
      </c>
      <c r="AC1210" s="7" t="s">
        <v>2224</v>
      </c>
    </row>
    <row r="1211" spans="1:29" ht="15" customHeight="1" collapsed="1" thickBot="1" x14ac:dyDescent="0.3">
      <c r="A1211" s="20" t="str">
        <f>CONCATENATE("720"," - ","MS", " ","Tamlyn"," ", "van Vuuren")</f>
        <v>720 - MS Tamlyn van Vuuren</v>
      </c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2"/>
    </row>
    <row r="1212" spans="1:29" ht="15" hidden="1" customHeight="1" outlineLevel="1" thickBot="1" x14ac:dyDescent="0.3">
      <c r="A1212" s="4" t="s">
        <v>4060</v>
      </c>
      <c r="B1212" s="4" t="s">
        <v>688</v>
      </c>
      <c r="C1212" s="4" t="s">
        <v>2220</v>
      </c>
      <c r="D1212" s="5">
        <v>42962.549999999996</v>
      </c>
      <c r="E1212" s="4" t="s">
        <v>2221</v>
      </c>
      <c r="F1212" s="4" t="s">
        <v>2222</v>
      </c>
      <c r="G1212" s="4" t="s">
        <v>813</v>
      </c>
      <c r="H1212" s="4" t="s">
        <v>1886</v>
      </c>
      <c r="I1212" s="4" t="s">
        <v>2044</v>
      </c>
      <c r="J1212" s="4" t="s">
        <v>2043</v>
      </c>
      <c r="K1212" s="5">
        <v>32049</v>
      </c>
      <c r="L1212" s="4" t="s">
        <v>4061</v>
      </c>
      <c r="M1212" s="4" t="s">
        <v>9</v>
      </c>
      <c r="N1212" s="5">
        <v>41307</v>
      </c>
      <c r="O1212" s="5" t="s">
        <v>2224</v>
      </c>
      <c r="P1212" s="4" t="s">
        <v>2224</v>
      </c>
      <c r="Q1212" s="4" t="s">
        <v>4062</v>
      </c>
      <c r="R1212" s="4" t="s">
        <v>2226</v>
      </c>
      <c r="S1212" s="4" t="s">
        <v>2227</v>
      </c>
      <c r="T1212" s="4" t="s">
        <v>2228</v>
      </c>
      <c r="U1212" s="4" t="s">
        <v>2237</v>
      </c>
      <c r="V1212" s="4" t="s">
        <v>8</v>
      </c>
      <c r="W1212" s="4" t="s">
        <v>2278</v>
      </c>
      <c r="X1212" s="4" t="s">
        <v>2224</v>
      </c>
      <c r="Y1212" s="4" t="s">
        <v>2239</v>
      </c>
      <c r="Z1212" s="6">
        <v>16081.7</v>
      </c>
      <c r="AA1212" s="6">
        <v>192980.4</v>
      </c>
      <c r="AB1212" s="4" t="s">
        <v>2232</v>
      </c>
      <c r="AC1212" s="7" t="s">
        <v>2224</v>
      </c>
    </row>
    <row r="1213" spans="1:29" ht="15" customHeight="1" collapsed="1" thickBot="1" x14ac:dyDescent="0.3">
      <c r="A1213" s="20" t="str">
        <f>CONCATENATE("721"," - ","MISS", " ","Anoschka"," ", "Van Zyl")</f>
        <v>721 - MISS Anoschka Van Zyl</v>
      </c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2"/>
    </row>
    <row r="1214" spans="1:29" ht="15" hidden="1" customHeight="1" outlineLevel="1" thickBot="1" x14ac:dyDescent="0.3">
      <c r="A1214" s="4" t="s">
        <v>4063</v>
      </c>
      <c r="B1214" s="4" t="s">
        <v>302</v>
      </c>
      <c r="C1214" s="4" t="s">
        <v>2220</v>
      </c>
      <c r="D1214" s="5">
        <v>42962.549999999996</v>
      </c>
      <c r="E1214" s="4" t="s">
        <v>2221</v>
      </c>
      <c r="F1214" s="4" t="s">
        <v>2222</v>
      </c>
      <c r="G1214" s="4" t="s">
        <v>2234</v>
      </c>
      <c r="H1214" s="4" t="s">
        <v>928</v>
      </c>
      <c r="I1214" s="4" t="s">
        <v>1348</v>
      </c>
      <c r="J1214" s="4" t="s">
        <v>1241</v>
      </c>
      <c r="K1214" s="5">
        <v>34060</v>
      </c>
      <c r="L1214" s="4" t="s">
        <v>4064</v>
      </c>
      <c r="M1214" s="4" t="s">
        <v>9</v>
      </c>
      <c r="N1214" s="5">
        <v>41068</v>
      </c>
      <c r="O1214" s="5" t="s">
        <v>2224</v>
      </c>
      <c r="P1214" s="4" t="s">
        <v>2224</v>
      </c>
      <c r="Q1214" s="4" t="s">
        <v>4065</v>
      </c>
      <c r="R1214" s="4" t="s">
        <v>2226</v>
      </c>
      <c r="S1214" s="4" t="s">
        <v>2227</v>
      </c>
      <c r="T1214" s="4" t="s">
        <v>2228</v>
      </c>
      <c r="U1214" s="4" t="s">
        <v>2237</v>
      </c>
      <c r="V1214" s="4" t="s">
        <v>125</v>
      </c>
      <c r="W1214" s="4" t="s">
        <v>2230</v>
      </c>
      <c r="X1214" s="4" t="s">
        <v>2224</v>
      </c>
      <c r="Y1214" s="4" t="s">
        <v>2239</v>
      </c>
      <c r="Z1214" s="6">
        <v>20904.989600000001</v>
      </c>
      <c r="AA1214" s="6">
        <v>250859.88</v>
      </c>
      <c r="AB1214" s="4" t="s">
        <v>2232</v>
      </c>
      <c r="AC1214" s="7" t="s">
        <v>2224</v>
      </c>
    </row>
    <row r="1215" spans="1:29" ht="15" customHeight="1" collapsed="1" thickBot="1" x14ac:dyDescent="0.3">
      <c r="A1215" s="20" t="str">
        <f>CONCATENATE("722"," - ","MRS", " ","Bianca"," ", "Van Zyl")</f>
        <v>722 - MRS Bianca Van Zyl</v>
      </c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2"/>
    </row>
    <row r="1216" spans="1:29" ht="15" hidden="1" customHeight="1" outlineLevel="1" thickBot="1" x14ac:dyDescent="0.3">
      <c r="A1216" s="4" t="s">
        <v>4066</v>
      </c>
      <c r="B1216" s="4" t="s">
        <v>241</v>
      </c>
      <c r="C1216" s="4" t="s">
        <v>2220</v>
      </c>
      <c r="D1216" s="5">
        <v>42962.461805555555</v>
      </c>
      <c r="E1216" s="4" t="s">
        <v>2221</v>
      </c>
      <c r="F1216" s="4" t="s">
        <v>2222</v>
      </c>
      <c r="G1216" s="4" t="s">
        <v>2280</v>
      </c>
      <c r="H1216" s="4" t="s">
        <v>791</v>
      </c>
      <c r="I1216" s="4" t="s">
        <v>1006</v>
      </c>
      <c r="J1216" s="4" t="s">
        <v>1241</v>
      </c>
      <c r="K1216" s="5">
        <v>30407</v>
      </c>
      <c r="L1216" s="4" t="s">
        <v>4067</v>
      </c>
      <c r="M1216" s="4" t="s">
        <v>9</v>
      </c>
      <c r="N1216" s="5">
        <v>40422</v>
      </c>
      <c r="O1216" s="5" t="s">
        <v>2224</v>
      </c>
      <c r="P1216" s="4" t="s">
        <v>2224</v>
      </c>
      <c r="Q1216" s="4" t="s">
        <v>4068</v>
      </c>
      <c r="R1216" s="4" t="s">
        <v>2226</v>
      </c>
      <c r="S1216" s="4" t="s">
        <v>2227</v>
      </c>
      <c r="T1216" s="4" t="s">
        <v>2228</v>
      </c>
      <c r="U1216" s="4" t="s">
        <v>2229</v>
      </c>
      <c r="V1216" s="4" t="s">
        <v>75</v>
      </c>
      <c r="W1216" s="4" t="s">
        <v>2249</v>
      </c>
      <c r="X1216" s="4" t="s">
        <v>2224</v>
      </c>
      <c r="Y1216" s="4" t="s">
        <v>2621</v>
      </c>
      <c r="Z1216" s="6">
        <v>38710.723299999998</v>
      </c>
      <c r="AA1216" s="6">
        <v>464528.68</v>
      </c>
      <c r="AB1216" s="4" t="s">
        <v>2232</v>
      </c>
      <c r="AC1216" s="7" t="s">
        <v>2224</v>
      </c>
    </row>
    <row r="1217" spans="1:29" ht="15" customHeight="1" collapsed="1" thickBot="1" x14ac:dyDescent="0.3">
      <c r="A1217" s="20" t="str">
        <f>CONCATENATE("723"," - ","MR", " ","Wallie"," ", "Veldtsman")</f>
        <v>723 - MR Wallie Veldtsman</v>
      </c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2"/>
    </row>
    <row r="1218" spans="1:29" ht="15" hidden="1" customHeight="1" outlineLevel="1" thickBot="1" x14ac:dyDescent="0.3">
      <c r="A1218" s="4" t="s">
        <v>4069</v>
      </c>
      <c r="B1218" s="4" t="s">
        <v>133</v>
      </c>
      <c r="C1218" s="4" t="s">
        <v>2220</v>
      </c>
      <c r="D1218" s="5">
        <v>42962.462500000001</v>
      </c>
      <c r="E1218" s="4" t="s">
        <v>2221</v>
      </c>
      <c r="F1218" s="4" t="s">
        <v>2222</v>
      </c>
      <c r="G1218" s="4" t="s">
        <v>2014</v>
      </c>
      <c r="H1218" s="4" t="s">
        <v>1022</v>
      </c>
      <c r="I1218" s="4" t="s">
        <v>1021</v>
      </c>
      <c r="J1218" s="4" t="s">
        <v>1020</v>
      </c>
      <c r="K1218" s="5">
        <v>22491</v>
      </c>
      <c r="L1218" s="4" t="s">
        <v>4070</v>
      </c>
      <c r="M1218" s="4" t="s">
        <v>9</v>
      </c>
      <c r="N1218" s="5">
        <v>39114</v>
      </c>
      <c r="O1218" s="5" t="s">
        <v>2224</v>
      </c>
      <c r="P1218" s="4" t="s">
        <v>2224</v>
      </c>
      <c r="Q1218" s="4" t="s">
        <v>4071</v>
      </c>
      <c r="R1218" s="4" t="s">
        <v>4072</v>
      </c>
      <c r="S1218" s="4" t="s">
        <v>2227</v>
      </c>
      <c r="T1218" s="4" t="s">
        <v>2228</v>
      </c>
      <c r="U1218" s="4" t="s">
        <v>2248</v>
      </c>
      <c r="V1218" s="4" t="s">
        <v>134</v>
      </c>
      <c r="W1218" s="4" t="s">
        <v>2297</v>
      </c>
      <c r="X1218" s="4" t="s">
        <v>2224</v>
      </c>
      <c r="Y1218" s="4" t="s">
        <v>2298</v>
      </c>
      <c r="Z1218" s="6">
        <v>9702.1337999999996</v>
      </c>
      <c r="AA1218" s="6">
        <v>116425.61</v>
      </c>
      <c r="AB1218" s="4" t="s">
        <v>2232</v>
      </c>
      <c r="AC1218" s="7" t="s">
        <v>2224</v>
      </c>
    </row>
    <row r="1219" spans="1:29" ht="15" customHeight="1" collapsed="1" thickBot="1" x14ac:dyDescent="0.3">
      <c r="A1219" s="20" t="str">
        <f>CONCATENATE("724"," - ","MR", " ","Petrus"," ", "Vermeulen")</f>
        <v>724 - MR Petrus Vermeulen</v>
      </c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2"/>
    </row>
    <row r="1220" spans="1:29" ht="15" hidden="1" customHeight="1" outlineLevel="1" thickBot="1" x14ac:dyDescent="0.3">
      <c r="A1220" s="4" t="s">
        <v>4073</v>
      </c>
      <c r="B1220" s="4" t="s">
        <v>306</v>
      </c>
      <c r="C1220" s="4" t="s">
        <v>2220</v>
      </c>
      <c r="D1220" s="5">
        <v>42963.284722222219</v>
      </c>
      <c r="E1220" s="4" t="s">
        <v>2221</v>
      </c>
      <c r="F1220" s="4" t="s">
        <v>2222</v>
      </c>
      <c r="G1220" s="4" t="s">
        <v>2014</v>
      </c>
      <c r="H1220" s="4" t="s">
        <v>1354</v>
      </c>
      <c r="I1220" s="4" t="s">
        <v>1355</v>
      </c>
      <c r="J1220" s="4" t="s">
        <v>1353</v>
      </c>
      <c r="K1220" s="5">
        <v>27103</v>
      </c>
      <c r="L1220" s="4" t="s">
        <v>4074</v>
      </c>
      <c r="M1220" s="4" t="s">
        <v>9</v>
      </c>
      <c r="N1220" s="5">
        <v>41092</v>
      </c>
      <c r="O1220" s="5" t="s">
        <v>2224</v>
      </c>
      <c r="P1220" s="4" t="s">
        <v>2224</v>
      </c>
      <c r="Q1220" s="4" t="s">
        <v>4075</v>
      </c>
      <c r="R1220" s="4" t="s">
        <v>2226</v>
      </c>
      <c r="S1220" s="4" t="s">
        <v>2227</v>
      </c>
      <c r="T1220" s="4" t="s">
        <v>2228</v>
      </c>
      <c r="U1220" s="4" t="s">
        <v>2258</v>
      </c>
      <c r="V1220" s="4" t="s">
        <v>13</v>
      </c>
      <c r="W1220" s="4" t="s">
        <v>2249</v>
      </c>
      <c r="X1220" s="4" t="s">
        <v>2224</v>
      </c>
      <c r="Y1220" s="4" t="s">
        <v>2259</v>
      </c>
      <c r="Z1220" s="6">
        <v>109795.0572</v>
      </c>
      <c r="AA1220" s="6">
        <v>1317540.69</v>
      </c>
      <c r="AB1220" s="4" t="s">
        <v>2232</v>
      </c>
      <c r="AC1220" s="7" t="s">
        <v>2224</v>
      </c>
    </row>
    <row r="1221" spans="1:29" ht="15" customHeight="1" collapsed="1" thickBot="1" x14ac:dyDescent="0.3">
      <c r="A1221" s="20" t="str">
        <f>CONCATENATE("725"," - ","MRS", " ","Ann"," ", "Verster")</f>
        <v>725 - MRS Ann Verster</v>
      </c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2"/>
    </row>
    <row r="1222" spans="1:29" ht="15" hidden="1" customHeight="1" outlineLevel="1" thickBot="1" x14ac:dyDescent="0.3">
      <c r="A1222" s="4" t="s">
        <v>4076</v>
      </c>
      <c r="B1222" s="4" t="s">
        <v>4077</v>
      </c>
      <c r="C1222" s="4" t="s">
        <v>2220</v>
      </c>
      <c r="D1222" s="5">
        <v>42948.693055555552</v>
      </c>
      <c r="E1222" s="4" t="s">
        <v>2221</v>
      </c>
      <c r="F1222" s="4" t="s">
        <v>2222</v>
      </c>
      <c r="G1222" s="4" t="s">
        <v>2280</v>
      </c>
      <c r="H1222" s="4" t="s">
        <v>4078</v>
      </c>
      <c r="I1222" s="4" t="s">
        <v>4079</v>
      </c>
      <c r="J1222" s="4" t="s">
        <v>4080</v>
      </c>
      <c r="K1222" s="5">
        <v>22435</v>
      </c>
      <c r="L1222" s="4" t="s">
        <v>4081</v>
      </c>
      <c r="M1222" s="4" t="s">
        <v>2505</v>
      </c>
      <c r="N1222" s="5">
        <v>39048</v>
      </c>
      <c r="O1222" s="5">
        <v>42795</v>
      </c>
      <c r="P1222" s="4" t="s">
        <v>2441</v>
      </c>
      <c r="Q1222" s="4" t="s">
        <v>3725</v>
      </c>
      <c r="R1222" s="4" t="s">
        <v>2224</v>
      </c>
      <c r="S1222" s="4" t="s">
        <v>2227</v>
      </c>
      <c r="T1222" s="4" t="s">
        <v>2228</v>
      </c>
      <c r="U1222" s="4" t="s">
        <v>2248</v>
      </c>
      <c r="V1222" s="4" t="s">
        <v>4082</v>
      </c>
      <c r="W1222" s="4" t="s">
        <v>2297</v>
      </c>
      <c r="X1222" s="4" t="s">
        <v>2224</v>
      </c>
      <c r="Y1222" s="4" t="s">
        <v>2224</v>
      </c>
      <c r="Z1222" s="6">
        <v>0</v>
      </c>
      <c r="AA1222" s="6">
        <v>0</v>
      </c>
      <c r="AB1222" s="4" t="s">
        <v>2232</v>
      </c>
      <c r="AC1222" s="7" t="s">
        <v>2224</v>
      </c>
    </row>
    <row r="1223" spans="1:29" ht="15" customHeight="1" collapsed="1" thickBot="1" x14ac:dyDescent="0.3">
      <c r="A1223" s="20" t="str">
        <f>CONCATENATE("726"," - ","MR", " ","Siyabonga"," ", "Vilikazi")</f>
        <v>726 - MR Siyabonga Vilikazi</v>
      </c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2"/>
    </row>
    <row r="1224" spans="1:29" ht="15" hidden="1" customHeight="1" outlineLevel="1" thickBot="1" x14ac:dyDescent="0.3">
      <c r="A1224" s="4" t="s">
        <v>4083</v>
      </c>
      <c r="B1224" s="4" t="s">
        <v>568</v>
      </c>
      <c r="C1224" s="4" t="s">
        <v>2220</v>
      </c>
      <c r="D1224" s="5">
        <v>42962.461805555555</v>
      </c>
      <c r="E1224" s="4" t="s">
        <v>2221</v>
      </c>
      <c r="F1224" s="4" t="s">
        <v>2222</v>
      </c>
      <c r="G1224" s="4" t="s">
        <v>2014</v>
      </c>
      <c r="H1224" s="4" t="s">
        <v>800</v>
      </c>
      <c r="I1224" s="4" t="s">
        <v>1857</v>
      </c>
      <c r="J1224" s="4" t="s">
        <v>1856</v>
      </c>
      <c r="K1224" s="5">
        <v>33851</v>
      </c>
      <c r="L1224" s="4" t="s">
        <v>4084</v>
      </c>
      <c r="M1224" s="4" t="s">
        <v>9</v>
      </c>
      <c r="N1224" s="5">
        <v>42128</v>
      </c>
      <c r="O1224" s="5" t="s">
        <v>2224</v>
      </c>
      <c r="P1224" s="4" t="s">
        <v>2224</v>
      </c>
      <c r="Q1224" s="4" t="s">
        <v>4085</v>
      </c>
      <c r="R1224" s="4" t="s">
        <v>2226</v>
      </c>
      <c r="S1224" s="4" t="s">
        <v>2227</v>
      </c>
      <c r="T1224" s="4" t="s">
        <v>2228</v>
      </c>
      <c r="U1224" s="4" t="s">
        <v>2229</v>
      </c>
      <c r="V1224" s="4" t="s">
        <v>25</v>
      </c>
      <c r="W1224" s="4" t="s">
        <v>2278</v>
      </c>
      <c r="X1224" s="4" t="s">
        <v>2224</v>
      </c>
      <c r="Y1224" s="4" t="s">
        <v>2384</v>
      </c>
      <c r="Z1224" s="6">
        <v>10844.03</v>
      </c>
      <c r="AA1224" s="6">
        <v>130128.36</v>
      </c>
      <c r="AB1224" s="4" t="s">
        <v>2232</v>
      </c>
      <c r="AC1224" s="7" t="s">
        <v>2224</v>
      </c>
    </row>
    <row r="1225" spans="1:29" ht="15" customHeight="1" collapsed="1" thickBot="1" x14ac:dyDescent="0.3">
      <c r="A1225" s="20" t="str">
        <f>CONCATENATE("727"," - ","MR", " ","Kyle"," ", "Viljoen")</f>
        <v>727 - MR Kyle Viljoen</v>
      </c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2"/>
    </row>
    <row r="1226" spans="1:29" ht="15" hidden="1" customHeight="1" outlineLevel="1" thickBot="1" x14ac:dyDescent="0.3">
      <c r="A1226" s="4" t="s">
        <v>4086</v>
      </c>
      <c r="B1226" s="4" t="s">
        <v>443</v>
      </c>
      <c r="C1226" s="4" t="s">
        <v>2220</v>
      </c>
      <c r="D1226" s="5">
        <v>42963.287499999999</v>
      </c>
      <c r="E1226" s="4" t="s">
        <v>2221</v>
      </c>
      <c r="F1226" s="4" t="s">
        <v>2222</v>
      </c>
      <c r="G1226" s="4" t="s">
        <v>2014</v>
      </c>
      <c r="H1226" s="4" t="s">
        <v>1620</v>
      </c>
      <c r="I1226" s="4" t="s">
        <v>1621</v>
      </c>
      <c r="J1226" s="4" t="s">
        <v>1619</v>
      </c>
      <c r="K1226" s="5">
        <v>30319</v>
      </c>
      <c r="L1226" s="4" t="s">
        <v>4087</v>
      </c>
      <c r="M1226" s="4" t="s">
        <v>9</v>
      </c>
      <c r="N1226" s="5">
        <v>41659</v>
      </c>
      <c r="O1226" s="5" t="s">
        <v>2224</v>
      </c>
      <c r="P1226" s="4" t="s">
        <v>2224</v>
      </c>
      <c r="Q1226" s="4" t="s">
        <v>4088</v>
      </c>
      <c r="R1226" s="4" t="s">
        <v>2226</v>
      </c>
      <c r="S1226" s="4" t="s">
        <v>2227</v>
      </c>
      <c r="T1226" s="4" t="s">
        <v>2228</v>
      </c>
      <c r="U1226" s="4" t="s">
        <v>2258</v>
      </c>
      <c r="V1226" s="4" t="s">
        <v>13</v>
      </c>
      <c r="W1226" s="4" t="s">
        <v>2249</v>
      </c>
      <c r="X1226" s="4" t="s">
        <v>2224</v>
      </c>
      <c r="Y1226" s="4" t="s">
        <v>2259</v>
      </c>
      <c r="Z1226" s="6">
        <v>107642.2068</v>
      </c>
      <c r="AA1226" s="6">
        <v>1291706.48</v>
      </c>
      <c r="AB1226" s="4" t="s">
        <v>2232</v>
      </c>
      <c r="AC1226" s="7" t="s">
        <v>2224</v>
      </c>
    </row>
    <row r="1227" spans="1:29" ht="15" customHeight="1" collapsed="1" thickBot="1" x14ac:dyDescent="0.3">
      <c r="A1227" s="20" t="str">
        <f>CONCATENATE("728"," - ","MR", " ","Nicolaas"," ", "Vlok")</f>
        <v>728 - MR Nicolaas Vlok</v>
      </c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2"/>
    </row>
    <row r="1228" spans="1:29" ht="15" hidden="1" customHeight="1" outlineLevel="1" thickBot="1" x14ac:dyDescent="0.3">
      <c r="A1228" s="4" t="s">
        <v>4089</v>
      </c>
      <c r="B1228" s="4" t="s">
        <v>107</v>
      </c>
      <c r="C1228" s="4" t="s">
        <v>2220</v>
      </c>
      <c r="D1228" s="5">
        <v>42962.534722222219</v>
      </c>
      <c r="E1228" s="4" t="s">
        <v>2221</v>
      </c>
      <c r="F1228" s="4" t="s">
        <v>2222</v>
      </c>
      <c r="G1228" s="4" t="s">
        <v>2014</v>
      </c>
      <c r="H1228" s="4" t="s">
        <v>797</v>
      </c>
      <c r="I1228" s="4" t="s">
        <v>980</v>
      </c>
      <c r="J1228" s="4" t="s">
        <v>979</v>
      </c>
      <c r="K1228" s="5">
        <v>17509</v>
      </c>
      <c r="L1228" s="4" t="s">
        <v>4090</v>
      </c>
      <c r="M1228" s="4" t="s">
        <v>9</v>
      </c>
      <c r="N1228" s="5">
        <v>39022</v>
      </c>
      <c r="O1228" s="5" t="s">
        <v>2224</v>
      </c>
      <c r="P1228" s="4" t="s">
        <v>2224</v>
      </c>
      <c r="Q1228" s="4" t="s">
        <v>3030</v>
      </c>
      <c r="R1228" s="4" t="s">
        <v>2226</v>
      </c>
      <c r="S1228" s="4" t="s">
        <v>2227</v>
      </c>
      <c r="T1228" s="4" t="s">
        <v>2228</v>
      </c>
      <c r="U1228" s="4" t="s">
        <v>2248</v>
      </c>
      <c r="V1228" s="4" t="s">
        <v>108</v>
      </c>
      <c r="W1228" s="4" t="s">
        <v>2821</v>
      </c>
      <c r="X1228" s="4" t="s">
        <v>2224</v>
      </c>
      <c r="Y1228" s="4" t="s">
        <v>2224</v>
      </c>
      <c r="Z1228" s="6">
        <v>165850.73000000001</v>
      </c>
      <c r="AA1228" s="6">
        <v>1990208.76</v>
      </c>
      <c r="AB1228" s="4" t="s">
        <v>2232</v>
      </c>
      <c r="AC1228" s="7" t="s">
        <v>2224</v>
      </c>
    </row>
    <row r="1229" spans="1:29" ht="15" customHeight="1" collapsed="1" thickBot="1" x14ac:dyDescent="0.3">
      <c r="A1229" s="20" t="str">
        <f>CONCATENATE("729"," - ","MS", " ","Marisa"," ", "Volschenk")</f>
        <v>729 - MS Marisa Volschenk</v>
      </c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2"/>
    </row>
    <row r="1230" spans="1:29" ht="15" hidden="1" customHeight="1" outlineLevel="1" thickBot="1" x14ac:dyDescent="0.3">
      <c r="A1230" s="4" t="s">
        <v>4091</v>
      </c>
      <c r="B1230" s="4" t="s">
        <v>596</v>
      </c>
      <c r="C1230" s="4" t="s">
        <v>2220</v>
      </c>
      <c r="D1230" s="5">
        <v>42962.549999999996</v>
      </c>
      <c r="E1230" s="4" t="s">
        <v>2221</v>
      </c>
      <c r="F1230" s="4" t="s">
        <v>2222</v>
      </c>
      <c r="G1230" s="4" t="s">
        <v>813</v>
      </c>
      <c r="H1230" s="4" t="s">
        <v>788</v>
      </c>
      <c r="I1230" s="4" t="s">
        <v>1903</v>
      </c>
      <c r="J1230" s="4" t="s">
        <v>1902</v>
      </c>
      <c r="K1230" s="5">
        <v>34112</v>
      </c>
      <c r="L1230" s="4" t="s">
        <v>4092</v>
      </c>
      <c r="M1230" s="4" t="s">
        <v>9</v>
      </c>
      <c r="N1230" s="5">
        <v>42184</v>
      </c>
      <c r="O1230" s="5" t="s">
        <v>2224</v>
      </c>
      <c r="P1230" s="4" t="s">
        <v>2224</v>
      </c>
      <c r="Q1230" s="4" t="s">
        <v>4093</v>
      </c>
      <c r="R1230" s="4" t="s">
        <v>2226</v>
      </c>
      <c r="S1230" s="4" t="s">
        <v>2227</v>
      </c>
      <c r="T1230" s="4" t="s">
        <v>2228</v>
      </c>
      <c r="U1230" s="4" t="s">
        <v>2237</v>
      </c>
      <c r="V1230" s="4" t="s">
        <v>8</v>
      </c>
      <c r="W1230" s="4" t="s">
        <v>2278</v>
      </c>
      <c r="X1230" s="4" t="s">
        <v>2224</v>
      </c>
      <c r="Y1230" s="4" t="s">
        <v>2239</v>
      </c>
      <c r="Z1230" s="6">
        <v>16282.72</v>
      </c>
      <c r="AA1230" s="6">
        <v>195392.64000000001</v>
      </c>
      <c r="AB1230" s="4" t="s">
        <v>2232</v>
      </c>
      <c r="AC1230" s="7" t="s">
        <v>2224</v>
      </c>
    </row>
    <row r="1231" spans="1:29" ht="15" customHeight="1" collapsed="1" thickBot="1" x14ac:dyDescent="0.3">
      <c r="A1231" s="20" t="str">
        <f>CONCATENATE("73"," - ","MR", " ","David"," ", "Brits")</f>
        <v>73 - MR David Brits</v>
      </c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2"/>
    </row>
    <row r="1232" spans="1:29" ht="15" hidden="1" customHeight="1" outlineLevel="1" thickBot="1" x14ac:dyDescent="0.3">
      <c r="A1232" s="4" t="s">
        <v>4094</v>
      </c>
      <c r="B1232" s="4" t="s">
        <v>404</v>
      </c>
      <c r="C1232" s="4" t="s">
        <v>2220</v>
      </c>
      <c r="D1232" s="5">
        <v>42963.286805555552</v>
      </c>
      <c r="E1232" s="4" t="s">
        <v>2221</v>
      </c>
      <c r="F1232" s="4" t="s">
        <v>2222</v>
      </c>
      <c r="G1232" s="4" t="s">
        <v>2014</v>
      </c>
      <c r="H1232" s="4" t="s">
        <v>1534</v>
      </c>
      <c r="I1232" s="4" t="s">
        <v>1249</v>
      </c>
      <c r="J1232" s="4" t="s">
        <v>1533</v>
      </c>
      <c r="K1232" s="5">
        <v>31436</v>
      </c>
      <c r="L1232" s="4" t="s">
        <v>4095</v>
      </c>
      <c r="M1232" s="4" t="s">
        <v>9</v>
      </c>
      <c r="N1232" s="5">
        <v>41519</v>
      </c>
      <c r="O1232" s="5" t="s">
        <v>2224</v>
      </c>
      <c r="P1232" s="4" t="s">
        <v>2224</v>
      </c>
      <c r="Q1232" s="4" t="s">
        <v>4096</v>
      </c>
      <c r="R1232" s="4" t="s">
        <v>2226</v>
      </c>
      <c r="S1232" s="4" t="s">
        <v>2227</v>
      </c>
      <c r="T1232" s="4" t="s">
        <v>2228</v>
      </c>
      <c r="U1232" s="4" t="s">
        <v>2258</v>
      </c>
      <c r="V1232" s="4" t="s">
        <v>13</v>
      </c>
      <c r="W1232" s="4" t="s">
        <v>2249</v>
      </c>
      <c r="X1232" s="4" t="s">
        <v>2224</v>
      </c>
      <c r="Y1232" s="4" t="s">
        <v>2259</v>
      </c>
      <c r="Z1232" s="6">
        <v>107642.2068</v>
      </c>
      <c r="AA1232" s="6">
        <v>1291706.48</v>
      </c>
      <c r="AB1232" s="4" t="s">
        <v>2232</v>
      </c>
      <c r="AC1232" s="7" t="s">
        <v>2224</v>
      </c>
    </row>
    <row r="1233" spans="1:29" ht="15" customHeight="1" collapsed="1" thickBot="1" x14ac:dyDescent="0.3">
      <c r="A1233" s="20" t="str">
        <f>CONCATENATE("730"," - ","MR", " ","Scott"," ", "Von Hoesslin")</f>
        <v>730 - MR Scott Von Hoesslin</v>
      </c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2"/>
    </row>
    <row r="1234" spans="1:29" ht="15" hidden="1" customHeight="1" outlineLevel="1" thickBot="1" x14ac:dyDescent="0.3">
      <c r="A1234" s="4" t="s">
        <v>4097</v>
      </c>
      <c r="B1234" s="4" t="s">
        <v>617</v>
      </c>
      <c r="C1234" s="4" t="s">
        <v>2220</v>
      </c>
      <c r="D1234" s="5">
        <v>42963.288888888885</v>
      </c>
      <c r="E1234" s="4" t="s">
        <v>2221</v>
      </c>
      <c r="F1234" s="4" t="s">
        <v>2222</v>
      </c>
      <c r="G1234" s="4" t="s">
        <v>2014</v>
      </c>
      <c r="H1234" s="4" t="s">
        <v>800</v>
      </c>
      <c r="I1234" s="4" t="s">
        <v>1931</v>
      </c>
      <c r="J1234" s="4" t="s">
        <v>1930</v>
      </c>
      <c r="K1234" s="5">
        <v>30242</v>
      </c>
      <c r="L1234" s="4" t="s">
        <v>4098</v>
      </c>
      <c r="M1234" s="4" t="s">
        <v>9</v>
      </c>
      <c r="N1234" s="5">
        <v>42278</v>
      </c>
      <c r="O1234" s="5" t="s">
        <v>2224</v>
      </c>
      <c r="P1234" s="4" t="s">
        <v>2224</v>
      </c>
      <c r="Q1234" s="4" t="s">
        <v>4099</v>
      </c>
      <c r="R1234" s="4" t="s">
        <v>2226</v>
      </c>
      <c r="S1234" s="4" t="s">
        <v>2227</v>
      </c>
      <c r="T1234" s="4" t="s">
        <v>2228</v>
      </c>
      <c r="U1234" s="4" t="s">
        <v>2258</v>
      </c>
      <c r="V1234" s="4" t="s">
        <v>246</v>
      </c>
      <c r="W1234" s="4" t="s">
        <v>2249</v>
      </c>
      <c r="X1234" s="4" t="s">
        <v>2224</v>
      </c>
      <c r="Y1234" s="4" t="s">
        <v>2259</v>
      </c>
      <c r="Z1234" s="6">
        <v>68050.454400000002</v>
      </c>
      <c r="AA1234" s="6">
        <v>816605.45</v>
      </c>
      <c r="AB1234" s="4" t="s">
        <v>2232</v>
      </c>
      <c r="AC1234" s="7" t="s">
        <v>2224</v>
      </c>
    </row>
    <row r="1235" spans="1:29" ht="15" customHeight="1" collapsed="1" thickBot="1" x14ac:dyDescent="0.3">
      <c r="A1235" s="20" t="str">
        <f>CONCATENATE("731"," - ","MR", " ","Bernie"," ", "Von Lossberg")</f>
        <v>731 - MR Bernie Von Lossberg</v>
      </c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2"/>
    </row>
    <row r="1236" spans="1:29" ht="15" hidden="1" customHeight="1" outlineLevel="1" thickBot="1" x14ac:dyDescent="0.3">
      <c r="A1236" s="4" t="s">
        <v>4100</v>
      </c>
      <c r="B1236" s="4" t="s">
        <v>47</v>
      </c>
      <c r="C1236" s="4" t="s">
        <v>2220</v>
      </c>
      <c r="D1236" s="5">
        <v>42962.526388888888</v>
      </c>
      <c r="E1236" s="4" t="s">
        <v>2221</v>
      </c>
      <c r="F1236" s="4" t="s">
        <v>2222</v>
      </c>
      <c r="G1236" s="4" t="s">
        <v>2014</v>
      </c>
      <c r="H1236" s="4" t="s">
        <v>791</v>
      </c>
      <c r="I1236" s="4" t="s">
        <v>857</v>
      </c>
      <c r="J1236" s="4" t="s">
        <v>856</v>
      </c>
      <c r="K1236" s="5">
        <v>26247</v>
      </c>
      <c r="L1236" s="4" t="s">
        <v>4101</v>
      </c>
      <c r="M1236" s="4" t="s">
        <v>9</v>
      </c>
      <c r="N1236" s="5">
        <v>38989</v>
      </c>
      <c r="O1236" s="5" t="s">
        <v>2224</v>
      </c>
      <c r="P1236" s="4" t="s">
        <v>2224</v>
      </c>
      <c r="Q1236" s="4" t="s">
        <v>3176</v>
      </c>
      <c r="R1236" s="4" t="s">
        <v>2226</v>
      </c>
      <c r="S1236" s="4" t="s">
        <v>2227</v>
      </c>
      <c r="T1236" s="4" t="s">
        <v>2228</v>
      </c>
      <c r="U1236" s="4" t="s">
        <v>2258</v>
      </c>
      <c r="V1236" s="4" t="s">
        <v>13</v>
      </c>
      <c r="W1236" s="4" t="s">
        <v>2249</v>
      </c>
      <c r="X1236" s="4" t="s">
        <v>2224</v>
      </c>
      <c r="Y1236" s="4" t="s">
        <v>2259</v>
      </c>
      <c r="Z1236" s="6">
        <v>118845.6948</v>
      </c>
      <c r="AA1236" s="6">
        <v>1426148.34</v>
      </c>
      <c r="AB1236" s="4" t="s">
        <v>2232</v>
      </c>
      <c r="AC1236" s="7" t="s">
        <v>2224</v>
      </c>
    </row>
    <row r="1237" spans="1:29" ht="15" customHeight="1" collapsed="1" thickBot="1" x14ac:dyDescent="0.3">
      <c r="A1237" s="20" t="str">
        <f>CONCATENATE("732"," - ","MR", " ","Paul"," ", "Vosloo")</f>
        <v>732 - MR Paul Vosloo</v>
      </c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2"/>
    </row>
    <row r="1238" spans="1:29" ht="15" hidden="1" customHeight="1" outlineLevel="1" thickBot="1" x14ac:dyDescent="0.3">
      <c r="A1238" s="4" t="s">
        <v>4102</v>
      </c>
      <c r="B1238" s="4" t="s">
        <v>502</v>
      </c>
      <c r="C1238" s="4" t="s">
        <v>2220</v>
      </c>
      <c r="D1238" s="5">
        <v>42963.288194444445</v>
      </c>
      <c r="E1238" s="4" t="s">
        <v>2221</v>
      </c>
      <c r="F1238" s="4" t="s">
        <v>2222</v>
      </c>
      <c r="G1238" s="4" t="s">
        <v>2014</v>
      </c>
      <c r="H1238" s="4" t="s">
        <v>781</v>
      </c>
      <c r="I1238" s="4" t="s">
        <v>1737</v>
      </c>
      <c r="J1238" s="4" t="s">
        <v>1736</v>
      </c>
      <c r="K1238" s="5">
        <v>23861</v>
      </c>
      <c r="L1238" s="4" t="s">
        <v>4103</v>
      </c>
      <c r="M1238" s="4" t="s">
        <v>9</v>
      </c>
      <c r="N1238" s="5">
        <v>41974</v>
      </c>
      <c r="O1238" s="5" t="s">
        <v>2224</v>
      </c>
      <c r="P1238" s="4" t="s">
        <v>2224</v>
      </c>
      <c r="Q1238" s="4" t="s">
        <v>4104</v>
      </c>
      <c r="R1238" s="4" t="s">
        <v>2226</v>
      </c>
      <c r="S1238" s="4" t="s">
        <v>2227</v>
      </c>
      <c r="T1238" s="4" t="s">
        <v>2228</v>
      </c>
      <c r="U1238" s="4" t="s">
        <v>2258</v>
      </c>
      <c r="V1238" s="4" t="s">
        <v>246</v>
      </c>
      <c r="W1238" s="4" t="s">
        <v>2249</v>
      </c>
      <c r="X1238" s="4" t="s">
        <v>2224</v>
      </c>
      <c r="Y1238" s="4" t="s">
        <v>2259</v>
      </c>
      <c r="Z1238" s="6">
        <v>69411.470400000006</v>
      </c>
      <c r="AA1238" s="6">
        <v>832937.64</v>
      </c>
      <c r="AB1238" s="4" t="s">
        <v>2232</v>
      </c>
      <c r="AC1238" s="7" t="s">
        <v>2224</v>
      </c>
    </row>
    <row r="1239" spans="1:29" ht="15" customHeight="1" collapsed="1" thickBot="1" x14ac:dyDescent="0.3">
      <c r="A1239" s="20" t="str">
        <f>CONCATENATE("733"," - ","MS", " ","Chaune"," ", "Wasserman")</f>
        <v>733 - MS Chaune Wasserman</v>
      </c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2"/>
    </row>
    <row r="1240" spans="1:29" ht="15" hidden="1" customHeight="1" outlineLevel="1" thickBot="1" x14ac:dyDescent="0.3">
      <c r="A1240" s="4" t="s">
        <v>4105</v>
      </c>
      <c r="B1240" s="4" t="s">
        <v>643</v>
      </c>
      <c r="C1240" s="4" t="s">
        <v>2220</v>
      </c>
      <c r="D1240" s="5">
        <v>42962.549999999996</v>
      </c>
      <c r="E1240" s="4" t="s">
        <v>2221</v>
      </c>
      <c r="F1240" s="4" t="s">
        <v>2222</v>
      </c>
      <c r="G1240" s="4" t="s">
        <v>813</v>
      </c>
      <c r="H1240" s="4" t="s">
        <v>743</v>
      </c>
      <c r="I1240" s="4" t="s">
        <v>1972</v>
      </c>
      <c r="J1240" s="4" t="s">
        <v>1971</v>
      </c>
      <c r="K1240" s="5">
        <v>34235</v>
      </c>
      <c r="L1240" s="4" t="s">
        <v>4106</v>
      </c>
      <c r="M1240" s="4" t="s">
        <v>9</v>
      </c>
      <c r="N1240" s="5">
        <v>42332</v>
      </c>
      <c r="O1240" s="5" t="s">
        <v>2224</v>
      </c>
      <c r="P1240" s="4" t="s">
        <v>2224</v>
      </c>
      <c r="Q1240" s="4" t="s">
        <v>4107</v>
      </c>
      <c r="R1240" s="4" t="s">
        <v>2226</v>
      </c>
      <c r="S1240" s="4" t="s">
        <v>2227</v>
      </c>
      <c r="T1240" s="4" t="s">
        <v>2228</v>
      </c>
      <c r="U1240" s="4" t="s">
        <v>2237</v>
      </c>
      <c r="V1240" s="4" t="s">
        <v>8</v>
      </c>
      <c r="W1240" s="4" t="s">
        <v>2278</v>
      </c>
      <c r="X1240" s="4" t="s">
        <v>2224</v>
      </c>
      <c r="Y1240" s="4" t="s">
        <v>2239</v>
      </c>
      <c r="Z1240" s="6">
        <v>16081.7</v>
      </c>
      <c r="AA1240" s="6">
        <v>192980.4</v>
      </c>
      <c r="AB1240" s="4" t="s">
        <v>2232</v>
      </c>
      <c r="AC1240" s="7" t="s">
        <v>2224</v>
      </c>
    </row>
    <row r="1241" spans="1:29" ht="15" customHeight="1" collapsed="1" thickBot="1" x14ac:dyDescent="0.3">
      <c r="A1241" s="20" t="str">
        <f>CONCATENATE("734"," - ","MR", " ","Daneito"," ", "Wax")</f>
        <v>734 - MR Daneito Wax</v>
      </c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2"/>
    </row>
    <row r="1242" spans="1:29" ht="15" hidden="1" customHeight="1" outlineLevel="1" thickBot="1" x14ac:dyDescent="0.3">
      <c r="A1242" s="4" t="s">
        <v>4108</v>
      </c>
      <c r="B1242" s="4" t="s">
        <v>673</v>
      </c>
      <c r="C1242" s="4" t="s">
        <v>2220</v>
      </c>
      <c r="D1242" s="5">
        <v>42962.461805555555</v>
      </c>
      <c r="E1242" s="4" t="s">
        <v>2221</v>
      </c>
      <c r="F1242" s="4" t="s">
        <v>2222</v>
      </c>
      <c r="G1242" s="4" t="s">
        <v>2014</v>
      </c>
      <c r="H1242" s="4" t="s">
        <v>1248</v>
      </c>
      <c r="I1242" s="4" t="s">
        <v>2019</v>
      </c>
      <c r="J1242" s="4" t="s">
        <v>2018</v>
      </c>
      <c r="K1242" s="5">
        <v>34789</v>
      </c>
      <c r="L1242" s="4" t="s">
        <v>4109</v>
      </c>
      <c r="M1242" s="4" t="s">
        <v>9</v>
      </c>
      <c r="N1242" s="5">
        <v>42461</v>
      </c>
      <c r="O1242" s="5" t="s">
        <v>2224</v>
      </c>
      <c r="P1242" s="4" t="s">
        <v>2224</v>
      </c>
      <c r="Q1242" s="4" t="s">
        <v>4027</v>
      </c>
      <c r="R1242" s="4" t="s">
        <v>2226</v>
      </c>
      <c r="S1242" s="4" t="s">
        <v>2227</v>
      </c>
      <c r="T1242" s="4" t="s">
        <v>2228</v>
      </c>
      <c r="U1242" s="4" t="s">
        <v>2229</v>
      </c>
      <c r="V1242" s="4" t="s">
        <v>25</v>
      </c>
      <c r="W1242" s="4" t="s">
        <v>2278</v>
      </c>
      <c r="X1242" s="4" t="s">
        <v>2224</v>
      </c>
      <c r="Y1242" s="4" t="s">
        <v>2384</v>
      </c>
      <c r="Z1242" s="6">
        <v>10710.15</v>
      </c>
      <c r="AA1242" s="6">
        <v>128521.8</v>
      </c>
      <c r="AB1242" s="4" t="s">
        <v>2232</v>
      </c>
      <c r="AC1242" s="7" t="s">
        <v>2224</v>
      </c>
    </row>
    <row r="1243" spans="1:29" ht="15" customHeight="1" collapsed="1" thickBot="1" x14ac:dyDescent="0.3">
      <c r="A1243" s="20" t="str">
        <f>CONCATENATE("736"," - ","MR", " ","Shaughn"," ", "Weideman")</f>
        <v>736 - MR Shaughn Weideman</v>
      </c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2"/>
    </row>
    <row r="1244" spans="1:29" ht="15" hidden="1" customHeight="1" outlineLevel="1" thickBot="1" x14ac:dyDescent="0.3">
      <c r="A1244" s="4" t="s">
        <v>4110</v>
      </c>
      <c r="B1244" s="4" t="s">
        <v>256</v>
      </c>
      <c r="C1244" s="4" t="s">
        <v>2220</v>
      </c>
      <c r="D1244" s="5">
        <v>42963.282638888886</v>
      </c>
      <c r="E1244" s="4" t="s">
        <v>2221</v>
      </c>
      <c r="F1244" s="4" t="s">
        <v>2222</v>
      </c>
      <c r="G1244" s="4" t="s">
        <v>2014</v>
      </c>
      <c r="H1244" s="4" t="s">
        <v>1268</v>
      </c>
      <c r="I1244" s="4" t="s">
        <v>1269</v>
      </c>
      <c r="J1244" s="4" t="s">
        <v>1267</v>
      </c>
      <c r="K1244" s="5">
        <v>27823</v>
      </c>
      <c r="L1244" s="4" t="s">
        <v>4111</v>
      </c>
      <c r="M1244" s="4" t="s">
        <v>9</v>
      </c>
      <c r="N1244" s="5">
        <v>40560</v>
      </c>
      <c r="O1244" s="5" t="s">
        <v>2224</v>
      </c>
      <c r="P1244" s="4" t="s">
        <v>2224</v>
      </c>
      <c r="Q1244" s="4" t="s">
        <v>2836</v>
      </c>
      <c r="R1244" s="4" t="s">
        <v>2226</v>
      </c>
      <c r="S1244" s="4" t="s">
        <v>2227</v>
      </c>
      <c r="T1244" s="4" t="s">
        <v>2228</v>
      </c>
      <c r="U1244" s="4" t="s">
        <v>2258</v>
      </c>
      <c r="V1244" s="4" t="s">
        <v>257</v>
      </c>
      <c r="W1244" s="4" t="s">
        <v>2249</v>
      </c>
      <c r="X1244" s="4" t="s">
        <v>2224</v>
      </c>
      <c r="Y1244" s="4" t="s">
        <v>2259</v>
      </c>
      <c r="Z1244" s="6">
        <v>67619.88</v>
      </c>
      <c r="AA1244" s="6">
        <v>811438.56</v>
      </c>
      <c r="AB1244" s="4" t="s">
        <v>2232</v>
      </c>
      <c r="AC1244" s="7" t="s">
        <v>2224</v>
      </c>
    </row>
    <row r="1245" spans="1:29" ht="15" customHeight="1" collapsed="1" thickBot="1" x14ac:dyDescent="0.3">
      <c r="A1245" s="20" t="str">
        <f>CONCATENATE("737"," - ","MRS", " ","Clariska"," ", "Welman")</f>
        <v>737 - MRS Clariska Welman</v>
      </c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2"/>
    </row>
    <row r="1246" spans="1:29" ht="15" hidden="1" customHeight="1" outlineLevel="1" thickBot="1" x14ac:dyDescent="0.3">
      <c r="A1246" s="4" t="s">
        <v>4112</v>
      </c>
      <c r="B1246" s="4" t="s">
        <v>411</v>
      </c>
      <c r="C1246" s="4" t="s">
        <v>2220</v>
      </c>
      <c r="D1246" s="5">
        <v>42957.365277777775</v>
      </c>
      <c r="E1246" s="4" t="s">
        <v>2221</v>
      </c>
      <c r="F1246" s="4" t="s">
        <v>2222</v>
      </c>
      <c r="G1246" s="4" t="s">
        <v>2280</v>
      </c>
      <c r="H1246" s="4" t="s">
        <v>743</v>
      </c>
      <c r="I1246" s="4" t="s">
        <v>1551</v>
      </c>
      <c r="J1246" s="4" t="s">
        <v>1550</v>
      </c>
      <c r="K1246" s="5">
        <v>31137</v>
      </c>
      <c r="L1246" s="4" t="s">
        <v>4113</v>
      </c>
      <c r="M1246" s="4" t="s">
        <v>9</v>
      </c>
      <c r="N1246" s="5">
        <v>41526</v>
      </c>
      <c r="O1246" s="5" t="s">
        <v>2224</v>
      </c>
      <c r="P1246" s="4" t="s">
        <v>2224</v>
      </c>
      <c r="Q1246" s="4" t="s">
        <v>2769</v>
      </c>
      <c r="R1246" s="4" t="s">
        <v>2226</v>
      </c>
      <c r="S1246" s="4" t="s">
        <v>2227</v>
      </c>
      <c r="T1246" s="4" t="s">
        <v>2228</v>
      </c>
      <c r="U1246" s="4" t="s">
        <v>2237</v>
      </c>
      <c r="V1246" s="4" t="s">
        <v>4114</v>
      </c>
      <c r="W1246" s="4" t="s">
        <v>2230</v>
      </c>
      <c r="X1246" s="4" t="s">
        <v>2224</v>
      </c>
      <c r="Y1246" s="4" t="s">
        <v>2290</v>
      </c>
      <c r="Z1246" s="6">
        <v>25000</v>
      </c>
      <c r="AA1246" s="6">
        <v>300000</v>
      </c>
      <c r="AB1246" s="4" t="s">
        <v>2232</v>
      </c>
      <c r="AC1246" s="7" t="s">
        <v>2224</v>
      </c>
    </row>
    <row r="1247" spans="1:29" ht="15" customHeight="1" collapsed="1" thickBot="1" x14ac:dyDescent="0.3">
      <c r="A1247" s="20" t="str">
        <f>CONCATENATE("738"," - ","MR", " ","Craig"," ", "Welsh")</f>
        <v>738 - MR Craig Welsh</v>
      </c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2"/>
    </row>
    <row r="1248" spans="1:29" ht="15" hidden="1" customHeight="1" outlineLevel="1" thickBot="1" x14ac:dyDescent="0.3">
      <c r="A1248" s="4" t="s">
        <v>4115</v>
      </c>
      <c r="B1248" s="4" t="s">
        <v>292</v>
      </c>
      <c r="C1248" s="4" t="s">
        <v>2220</v>
      </c>
      <c r="D1248" s="5">
        <v>42963.28402777778</v>
      </c>
      <c r="E1248" s="4" t="s">
        <v>2221</v>
      </c>
      <c r="F1248" s="4" t="s">
        <v>2222</v>
      </c>
      <c r="G1248" s="4" t="s">
        <v>2014</v>
      </c>
      <c r="H1248" s="4" t="s">
        <v>1332</v>
      </c>
      <c r="I1248" s="4" t="s">
        <v>1333</v>
      </c>
      <c r="J1248" s="4" t="s">
        <v>1331</v>
      </c>
      <c r="K1248" s="5">
        <v>25618</v>
      </c>
      <c r="L1248" s="4" t="s">
        <v>4116</v>
      </c>
      <c r="M1248" s="4" t="s">
        <v>9</v>
      </c>
      <c r="N1248" s="5">
        <v>41183</v>
      </c>
      <c r="O1248" s="5" t="s">
        <v>2224</v>
      </c>
      <c r="P1248" s="4" t="s">
        <v>2224</v>
      </c>
      <c r="Q1248" s="4" t="s">
        <v>3954</v>
      </c>
      <c r="R1248" s="4" t="s">
        <v>2226</v>
      </c>
      <c r="S1248" s="4" t="s">
        <v>2227</v>
      </c>
      <c r="T1248" s="4" t="s">
        <v>2228</v>
      </c>
      <c r="U1248" s="4" t="s">
        <v>2258</v>
      </c>
      <c r="V1248" s="4" t="s">
        <v>13</v>
      </c>
      <c r="W1248" s="4" t="s">
        <v>2249</v>
      </c>
      <c r="X1248" s="4" t="s">
        <v>2224</v>
      </c>
      <c r="Y1248" s="4" t="s">
        <v>2259</v>
      </c>
      <c r="Z1248" s="6">
        <v>0</v>
      </c>
      <c r="AA1248" s="6">
        <v>0</v>
      </c>
      <c r="AB1248" s="4" t="s">
        <v>2232</v>
      </c>
      <c r="AC1248" s="7" t="s">
        <v>2224</v>
      </c>
    </row>
    <row r="1249" spans="1:29" ht="15" customHeight="1" collapsed="1" thickBot="1" x14ac:dyDescent="0.3">
      <c r="A1249" s="20" t="str">
        <f>CONCATENATE("739"," - ","MISS", " ","Kylie"," ", "Werner")</f>
        <v>739 - MISS Kylie Werner</v>
      </c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2"/>
    </row>
    <row r="1250" spans="1:29" ht="15" hidden="1" customHeight="1" outlineLevel="1" thickBot="1" x14ac:dyDescent="0.3">
      <c r="A1250" s="4" t="s">
        <v>4117</v>
      </c>
      <c r="B1250" s="4" t="s">
        <v>343</v>
      </c>
      <c r="C1250" s="4" t="s">
        <v>2220</v>
      </c>
      <c r="D1250" s="5">
        <v>42962.549999999996</v>
      </c>
      <c r="E1250" s="4" t="s">
        <v>2221</v>
      </c>
      <c r="F1250" s="4" t="s">
        <v>2222</v>
      </c>
      <c r="G1250" s="4" t="s">
        <v>2234</v>
      </c>
      <c r="H1250" s="4" t="s">
        <v>1425</v>
      </c>
      <c r="I1250" s="4" t="s">
        <v>1426</v>
      </c>
      <c r="J1250" s="4" t="s">
        <v>1424</v>
      </c>
      <c r="K1250" s="5">
        <v>33286</v>
      </c>
      <c r="L1250" s="4" t="s">
        <v>4118</v>
      </c>
      <c r="M1250" s="4" t="s">
        <v>9</v>
      </c>
      <c r="N1250" s="5">
        <v>41292</v>
      </c>
      <c r="O1250" s="5" t="s">
        <v>2224</v>
      </c>
      <c r="P1250" s="4" t="s">
        <v>2224</v>
      </c>
      <c r="Q1250" s="4" t="s">
        <v>3978</v>
      </c>
      <c r="R1250" s="4" t="s">
        <v>2226</v>
      </c>
      <c r="S1250" s="4" t="s">
        <v>2227</v>
      </c>
      <c r="T1250" s="4" t="s">
        <v>2228</v>
      </c>
      <c r="U1250" s="4" t="s">
        <v>2237</v>
      </c>
      <c r="V1250" s="4" t="s">
        <v>125</v>
      </c>
      <c r="W1250" s="4" t="s">
        <v>2230</v>
      </c>
      <c r="X1250" s="4" t="s">
        <v>2224</v>
      </c>
      <c r="Y1250" s="4" t="s">
        <v>2239</v>
      </c>
      <c r="Z1250" s="6">
        <v>20392</v>
      </c>
      <c r="AA1250" s="6">
        <v>244704</v>
      </c>
      <c r="AB1250" s="4" t="s">
        <v>2232</v>
      </c>
      <c r="AC1250" s="7" t="s">
        <v>2224</v>
      </c>
    </row>
    <row r="1251" spans="1:29" ht="15" customHeight="1" collapsed="1" thickBot="1" x14ac:dyDescent="0.3">
      <c r="A1251" s="20" t="str">
        <f>CONCATENATE("74"," - ","", " ","Nedine"," ", "Odendaal")</f>
        <v>74 -  Nedine Odendaal</v>
      </c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2"/>
    </row>
    <row r="1252" spans="1:29" ht="15" hidden="1" customHeight="1" outlineLevel="1" thickBot="1" x14ac:dyDescent="0.3">
      <c r="A1252" s="4" t="s">
        <v>4119</v>
      </c>
      <c r="B1252" s="4" t="s">
        <v>337</v>
      </c>
      <c r="C1252" s="4" t="s">
        <v>2220</v>
      </c>
      <c r="D1252" s="5">
        <v>42962.549999999996</v>
      </c>
      <c r="E1252" s="4" t="s">
        <v>2221</v>
      </c>
      <c r="F1252" s="4" t="s">
        <v>2222</v>
      </c>
      <c r="G1252" s="4" t="s">
        <v>2224</v>
      </c>
      <c r="H1252" s="4" t="s">
        <v>797</v>
      </c>
      <c r="I1252" s="4" t="s">
        <v>1414</v>
      </c>
      <c r="J1252" s="4" t="s">
        <v>987</v>
      </c>
      <c r="K1252" s="5">
        <v>33227</v>
      </c>
      <c r="L1252" s="4" t="s">
        <v>4120</v>
      </c>
      <c r="M1252" s="4" t="s">
        <v>9</v>
      </c>
      <c r="N1252" s="5">
        <v>41252</v>
      </c>
      <c r="O1252" s="5" t="s">
        <v>2224</v>
      </c>
      <c r="P1252" s="4" t="s">
        <v>2224</v>
      </c>
      <c r="Q1252" s="4" t="s">
        <v>4121</v>
      </c>
      <c r="R1252" s="4" t="s">
        <v>2226</v>
      </c>
      <c r="S1252" s="4" t="s">
        <v>2227</v>
      </c>
      <c r="T1252" s="4" t="s">
        <v>2228</v>
      </c>
      <c r="U1252" s="4" t="s">
        <v>2237</v>
      </c>
      <c r="V1252" s="4" t="s">
        <v>125</v>
      </c>
      <c r="W1252" s="4" t="s">
        <v>2230</v>
      </c>
      <c r="X1252" s="4" t="s">
        <v>2224</v>
      </c>
      <c r="Y1252" s="4" t="s">
        <v>2239</v>
      </c>
      <c r="Z1252" s="6">
        <v>20646.900000000001</v>
      </c>
      <c r="AA1252" s="6">
        <v>247762.8</v>
      </c>
      <c r="AB1252" s="4" t="s">
        <v>2232</v>
      </c>
      <c r="AC1252" s="7" t="s">
        <v>2224</v>
      </c>
    </row>
    <row r="1253" spans="1:29" ht="15" customHeight="1" collapsed="1" thickBot="1" x14ac:dyDescent="0.3">
      <c r="A1253" s="20" t="str">
        <f>CONCATENATE("740"," - ","MRS", " ","Deryse"," ", "Wessels")</f>
        <v>740 - MRS Deryse Wessels</v>
      </c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2"/>
    </row>
    <row r="1254" spans="1:29" ht="15" hidden="1" customHeight="1" outlineLevel="1" thickBot="1" x14ac:dyDescent="0.3">
      <c r="A1254" s="4" t="s">
        <v>4122</v>
      </c>
      <c r="B1254" s="4" t="s">
        <v>613</v>
      </c>
      <c r="C1254" s="4" t="s">
        <v>2220</v>
      </c>
      <c r="D1254" s="5">
        <v>42962.463194444441</v>
      </c>
      <c r="E1254" s="4" t="s">
        <v>2221</v>
      </c>
      <c r="F1254" s="4" t="s">
        <v>2222</v>
      </c>
      <c r="G1254" s="4" t="s">
        <v>2280</v>
      </c>
      <c r="H1254" s="4" t="s">
        <v>1572</v>
      </c>
      <c r="I1254" s="4" t="s">
        <v>1926</v>
      </c>
      <c r="J1254" s="4" t="s">
        <v>1873</v>
      </c>
      <c r="K1254" s="5">
        <v>27032</v>
      </c>
      <c r="L1254" s="4" t="s">
        <v>4123</v>
      </c>
      <c r="M1254" s="4" t="s">
        <v>9</v>
      </c>
      <c r="N1254" s="5">
        <v>42254</v>
      </c>
      <c r="O1254" s="5" t="s">
        <v>2224</v>
      </c>
      <c r="P1254" s="4" t="s">
        <v>2224</v>
      </c>
      <c r="Q1254" s="4" t="s">
        <v>4062</v>
      </c>
      <c r="R1254" s="4" t="s">
        <v>2226</v>
      </c>
      <c r="S1254" s="4" t="s">
        <v>2227</v>
      </c>
      <c r="T1254" s="4" t="s">
        <v>2228</v>
      </c>
      <c r="U1254" s="4" t="s">
        <v>2248</v>
      </c>
      <c r="V1254" s="4" t="s">
        <v>598</v>
      </c>
      <c r="W1254" s="4" t="s">
        <v>2230</v>
      </c>
      <c r="X1254" s="4" t="s">
        <v>2224</v>
      </c>
      <c r="Y1254" s="4" t="s">
        <v>2283</v>
      </c>
      <c r="Z1254" s="6">
        <v>50028.3</v>
      </c>
      <c r="AA1254" s="6">
        <v>600339.6</v>
      </c>
      <c r="AB1254" s="4" t="s">
        <v>2232</v>
      </c>
      <c r="AC1254" s="7" t="s">
        <v>2224</v>
      </c>
    </row>
    <row r="1255" spans="1:29" ht="15" customHeight="1" collapsed="1" thickBot="1" x14ac:dyDescent="0.3">
      <c r="A1255" s="20" t="str">
        <f>CONCATENATE("741"," - ","MISS", " ","Janice"," ", "Wessels")</f>
        <v>741 - MISS Janice Wessels</v>
      </c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2"/>
    </row>
    <row r="1256" spans="1:29" ht="15" hidden="1" customHeight="1" outlineLevel="1" thickBot="1" x14ac:dyDescent="0.3">
      <c r="A1256" s="4" t="s">
        <v>4124</v>
      </c>
      <c r="B1256" s="4" t="s">
        <v>577</v>
      </c>
      <c r="C1256" s="4" t="s">
        <v>2220</v>
      </c>
      <c r="D1256" s="5">
        <v>42948.649305555555</v>
      </c>
      <c r="E1256" s="4" t="s">
        <v>2221</v>
      </c>
      <c r="F1256" s="4" t="s">
        <v>2222</v>
      </c>
      <c r="G1256" s="4" t="s">
        <v>2234</v>
      </c>
      <c r="H1256" s="4" t="s">
        <v>888</v>
      </c>
      <c r="I1256" s="4" t="s">
        <v>1874</v>
      </c>
      <c r="J1256" s="4" t="s">
        <v>1873</v>
      </c>
      <c r="K1256" s="5">
        <v>33034</v>
      </c>
      <c r="L1256" s="4" t="s">
        <v>4125</v>
      </c>
      <c r="M1256" s="4" t="s">
        <v>9</v>
      </c>
      <c r="N1256" s="5">
        <v>42135</v>
      </c>
      <c r="O1256" s="5" t="s">
        <v>2224</v>
      </c>
      <c r="P1256" s="4" t="s">
        <v>2224</v>
      </c>
      <c r="Q1256" s="4" t="s">
        <v>4126</v>
      </c>
      <c r="R1256" s="4" t="s">
        <v>2226</v>
      </c>
      <c r="S1256" s="4" t="s">
        <v>2227</v>
      </c>
      <c r="T1256" s="4" t="s">
        <v>2228</v>
      </c>
      <c r="U1256" s="4" t="s">
        <v>2229</v>
      </c>
      <c r="V1256" s="4" t="s">
        <v>25</v>
      </c>
      <c r="W1256" s="4" t="s">
        <v>2278</v>
      </c>
      <c r="X1256" s="4" t="s">
        <v>2224</v>
      </c>
      <c r="Y1256" s="4" t="s">
        <v>2380</v>
      </c>
      <c r="Z1256" s="6">
        <v>5355.08</v>
      </c>
      <c r="AA1256" s="6">
        <v>64260.959999999999</v>
      </c>
      <c r="AB1256" s="4" t="s">
        <v>2232</v>
      </c>
      <c r="AC1256" s="7" t="s">
        <v>2224</v>
      </c>
    </row>
    <row r="1257" spans="1:29" ht="15" customHeight="1" collapsed="1" thickBot="1" x14ac:dyDescent="0.3">
      <c r="A1257" s="20" t="str">
        <f>CONCATENATE("742"," - ","MR", " ","Nicholas"," ", "Westmoreland")</f>
        <v>742 - MR Nicholas Westmoreland</v>
      </c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2"/>
    </row>
    <row r="1258" spans="1:29" ht="15" hidden="1" customHeight="1" outlineLevel="1" thickBot="1" x14ac:dyDescent="0.3">
      <c r="A1258" s="4" t="s">
        <v>4127</v>
      </c>
      <c r="B1258" s="4" t="s">
        <v>665</v>
      </c>
      <c r="C1258" s="4" t="s">
        <v>2220</v>
      </c>
      <c r="D1258" s="5">
        <v>42963.290277777778</v>
      </c>
      <c r="E1258" s="4" t="s">
        <v>2221</v>
      </c>
      <c r="F1258" s="4" t="s">
        <v>2222</v>
      </c>
      <c r="G1258" s="4" t="s">
        <v>2014</v>
      </c>
      <c r="H1258" s="4" t="s">
        <v>797</v>
      </c>
      <c r="I1258" s="4" t="s">
        <v>1992</v>
      </c>
      <c r="J1258" s="4" t="s">
        <v>2002</v>
      </c>
      <c r="K1258" s="5">
        <v>29691</v>
      </c>
      <c r="L1258" s="4" t="s">
        <v>4128</v>
      </c>
      <c r="M1258" s="4" t="s">
        <v>9</v>
      </c>
      <c r="N1258" s="5">
        <v>42430</v>
      </c>
      <c r="O1258" s="5" t="s">
        <v>2224</v>
      </c>
      <c r="P1258" s="4" t="s">
        <v>2224</v>
      </c>
      <c r="Q1258" s="4" t="s">
        <v>3024</v>
      </c>
      <c r="R1258" s="4" t="s">
        <v>2226</v>
      </c>
      <c r="S1258" s="4" t="s">
        <v>2227</v>
      </c>
      <c r="T1258" s="4" t="s">
        <v>2228</v>
      </c>
      <c r="U1258" s="4" t="s">
        <v>2258</v>
      </c>
      <c r="V1258" s="4" t="s">
        <v>246</v>
      </c>
      <c r="W1258" s="4" t="s">
        <v>2249</v>
      </c>
      <c r="X1258" s="4" t="s">
        <v>2224</v>
      </c>
      <c r="Y1258" s="4" t="s">
        <v>2259</v>
      </c>
      <c r="Z1258" s="6">
        <v>68050.454400000002</v>
      </c>
      <c r="AA1258" s="6">
        <v>816605.45</v>
      </c>
      <c r="AB1258" s="4" t="s">
        <v>2232</v>
      </c>
      <c r="AC1258" s="7" t="s">
        <v>2224</v>
      </c>
    </row>
    <row r="1259" spans="1:29" ht="15" customHeight="1" collapsed="1" thickBot="1" x14ac:dyDescent="0.3">
      <c r="A1259" s="20" t="str">
        <f>CONCATENATE("744"," - ","MISS", " ","Stephanie"," ", "Wildeman")</f>
        <v>744 - MISS Stephanie Wildeman</v>
      </c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2"/>
    </row>
    <row r="1260" spans="1:29" ht="15" hidden="1" customHeight="1" outlineLevel="1" thickBot="1" x14ac:dyDescent="0.3">
      <c r="A1260" s="4" t="s">
        <v>4129</v>
      </c>
      <c r="B1260" s="4" t="s">
        <v>370</v>
      </c>
      <c r="C1260" s="4" t="s">
        <v>2220</v>
      </c>
      <c r="D1260" s="5">
        <v>42962.537499999999</v>
      </c>
      <c r="E1260" s="4" t="s">
        <v>2221</v>
      </c>
      <c r="F1260" s="4" t="s">
        <v>2222</v>
      </c>
      <c r="G1260" s="4" t="s">
        <v>2234</v>
      </c>
      <c r="H1260" s="4" t="s">
        <v>800</v>
      </c>
      <c r="I1260" s="4" t="s">
        <v>1473</v>
      </c>
      <c r="J1260" s="4" t="s">
        <v>1472</v>
      </c>
      <c r="K1260" s="5">
        <v>33940</v>
      </c>
      <c r="L1260" s="4" t="s">
        <v>4130</v>
      </c>
      <c r="M1260" s="4" t="s">
        <v>9</v>
      </c>
      <c r="N1260" s="5">
        <v>41373</v>
      </c>
      <c r="O1260" s="5" t="s">
        <v>2224</v>
      </c>
      <c r="P1260" s="4" t="s">
        <v>2224</v>
      </c>
      <c r="Q1260" s="4" t="s">
        <v>3888</v>
      </c>
      <c r="R1260" s="4" t="s">
        <v>2226</v>
      </c>
      <c r="S1260" s="4" t="s">
        <v>2227</v>
      </c>
      <c r="T1260" s="4" t="s">
        <v>2228</v>
      </c>
      <c r="U1260" s="4" t="s">
        <v>2237</v>
      </c>
      <c r="V1260" s="4" t="s">
        <v>8</v>
      </c>
      <c r="W1260" s="4" t="s">
        <v>2278</v>
      </c>
      <c r="X1260" s="4" t="s">
        <v>2224</v>
      </c>
      <c r="Y1260" s="4" t="s">
        <v>2239</v>
      </c>
      <c r="Z1260" s="6">
        <v>16692.34</v>
      </c>
      <c r="AA1260" s="6">
        <v>200308.08</v>
      </c>
      <c r="AB1260" s="4" t="s">
        <v>2232</v>
      </c>
      <c r="AC1260" s="7" t="s">
        <v>2224</v>
      </c>
    </row>
    <row r="1261" spans="1:29" ht="15" customHeight="1" collapsed="1" thickBot="1" x14ac:dyDescent="0.3">
      <c r="A1261" s="20" t="str">
        <f>CONCATENATE("745"," - ","MRS", " ","Anwyn"," ", "Williams")</f>
        <v>745 - MRS Anwyn Williams</v>
      </c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2"/>
    </row>
    <row r="1262" spans="1:29" ht="15" hidden="1" customHeight="1" outlineLevel="1" thickBot="1" x14ac:dyDescent="0.3">
      <c r="A1262" s="4" t="s">
        <v>4131</v>
      </c>
      <c r="B1262" s="4" t="s">
        <v>85</v>
      </c>
      <c r="C1262" s="4" t="s">
        <v>2220</v>
      </c>
      <c r="D1262" s="5">
        <v>42962.461111111108</v>
      </c>
      <c r="E1262" s="4" t="s">
        <v>2221</v>
      </c>
      <c r="F1262" s="4" t="s">
        <v>2222</v>
      </c>
      <c r="G1262" s="4" t="s">
        <v>2280</v>
      </c>
      <c r="H1262" s="4" t="s">
        <v>928</v>
      </c>
      <c r="I1262" s="4" t="s">
        <v>929</v>
      </c>
      <c r="J1262" s="4" t="s">
        <v>927</v>
      </c>
      <c r="K1262" s="5">
        <v>29963</v>
      </c>
      <c r="L1262" s="4" t="s">
        <v>4132</v>
      </c>
      <c r="M1262" s="4" t="s">
        <v>9</v>
      </c>
      <c r="N1262" s="5">
        <v>39020</v>
      </c>
      <c r="O1262" s="5" t="s">
        <v>2224</v>
      </c>
      <c r="P1262" s="4" t="s">
        <v>2224</v>
      </c>
      <c r="Q1262" s="4" t="s">
        <v>3237</v>
      </c>
      <c r="R1262" s="4" t="s">
        <v>2226</v>
      </c>
      <c r="S1262" s="4" t="s">
        <v>2227</v>
      </c>
      <c r="T1262" s="4" t="s">
        <v>2228</v>
      </c>
      <c r="U1262" s="4" t="s">
        <v>2229</v>
      </c>
      <c r="V1262" s="4" t="s">
        <v>17</v>
      </c>
      <c r="W1262" s="4" t="s">
        <v>2230</v>
      </c>
      <c r="X1262" s="4" t="s">
        <v>2224</v>
      </c>
      <c r="Y1262" s="4" t="s">
        <v>2380</v>
      </c>
      <c r="Z1262" s="6">
        <v>21430.874299999999</v>
      </c>
      <c r="AA1262" s="6">
        <v>257170.49</v>
      </c>
      <c r="AB1262" s="4" t="s">
        <v>2232</v>
      </c>
      <c r="AC1262" s="7" t="s">
        <v>2224</v>
      </c>
    </row>
    <row r="1263" spans="1:29" ht="15" customHeight="1" collapsed="1" thickBot="1" x14ac:dyDescent="0.3">
      <c r="A1263" s="20" t="str">
        <f>CONCATENATE("746"," - ","MR", " ","Troy"," ", "Williams")</f>
        <v>746 - MR Troy Williams</v>
      </c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2"/>
    </row>
    <row r="1264" spans="1:29" ht="15" hidden="1" customHeight="1" outlineLevel="1" thickBot="1" x14ac:dyDescent="0.3">
      <c r="A1264" s="4" t="s">
        <v>4133</v>
      </c>
      <c r="B1264" s="4" t="s">
        <v>622</v>
      </c>
      <c r="C1264" s="4" t="s">
        <v>2220</v>
      </c>
      <c r="D1264" s="5">
        <v>42962.549999999996</v>
      </c>
      <c r="E1264" s="4" t="s">
        <v>2221</v>
      </c>
      <c r="F1264" s="4" t="s">
        <v>2222</v>
      </c>
      <c r="G1264" s="4" t="s">
        <v>2014</v>
      </c>
      <c r="H1264" s="4" t="s">
        <v>1939</v>
      </c>
      <c r="I1264" s="4" t="s">
        <v>1940</v>
      </c>
      <c r="J1264" s="4" t="s">
        <v>927</v>
      </c>
      <c r="K1264" s="5">
        <v>33527</v>
      </c>
      <c r="L1264" s="4" t="s">
        <v>4134</v>
      </c>
      <c r="M1264" s="4" t="s">
        <v>9</v>
      </c>
      <c r="N1264" s="5">
        <v>42275</v>
      </c>
      <c r="O1264" s="5" t="s">
        <v>2224</v>
      </c>
      <c r="P1264" s="4" t="s">
        <v>2224</v>
      </c>
      <c r="Q1264" s="4" t="s">
        <v>4135</v>
      </c>
      <c r="R1264" s="4" t="s">
        <v>2226</v>
      </c>
      <c r="S1264" s="4" t="s">
        <v>2227</v>
      </c>
      <c r="T1264" s="4" t="s">
        <v>2228</v>
      </c>
      <c r="U1264" s="4" t="s">
        <v>2237</v>
      </c>
      <c r="V1264" s="4" t="s">
        <v>8</v>
      </c>
      <c r="W1264" s="4" t="s">
        <v>2278</v>
      </c>
      <c r="X1264" s="4" t="s">
        <v>2224</v>
      </c>
      <c r="Y1264" s="4" t="s">
        <v>2239</v>
      </c>
      <c r="Z1264" s="6">
        <v>16081.7</v>
      </c>
      <c r="AA1264" s="6">
        <v>192980.4</v>
      </c>
      <c r="AB1264" s="4" t="s">
        <v>2232</v>
      </c>
      <c r="AC1264" s="7" t="s">
        <v>2224</v>
      </c>
    </row>
    <row r="1265" spans="1:29" ht="15" customHeight="1" collapsed="1" thickBot="1" x14ac:dyDescent="0.3">
      <c r="A1265" s="20" t="str">
        <f>CONCATENATE("747"," - ","MRS", " ","Elke"," ", "Wissiak Button")</f>
        <v>747 - MRS Elke Wissiak Button</v>
      </c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2"/>
    </row>
    <row r="1266" spans="1:29" ht="15" hidden="1" customHeight="1" outlineLevel="1" thickBot="1" x14ac:dyDescent="0.3">
      <c r="A1266" s="4" t="s">
        <v>4136</v>
      </c>
      <c r="B1266" s="4" t="s">
        <v>219</v>
      </c>
      <c r="C1266" s="4" t="s">
        <v>2220</v>
      </c>
      <c r="D1266" s="5">
        <v>42962.463194444441</v>
      </c>
      <c r="E1266" s="4" t="s">
        <v>2221</v>
      </c>
      <c r="F1266" s="4" t="s">
        <v>2222</v>
      </c>
      <c r="G1266" s="4" t="s">
        <v>2280</v>
      </c>
      <c r="H1266" s="4" t="s">
        <v>816</v>
      </c>
      <c r="I1266" s="4" t="s">
        <v>1199</v>
      </c>
      <c r="J1266" s="4" t="s">
        <v>1198</v>
      </c>
      <c r="K1266" s="5">
        <v>26393</v>
      </c>
      <c r="L1266" s="4" t="s">
        <v>4137</v>
      </c>
      <c r="M1266" s="4" t="s">
        <v>9</v>
      </c>
      <c r="N1266" s="5">
        <v>40196</v>
      </c>
      <c r="O1266" s="5" t="s">
        <v>2224</v>
      </c>
      <c r="P1266" s="4" t="s">
        <v>2224</v>
      </c>
      <c r="Q1266" s="4" t="s">
        <v>4138</v>
      </c>
      <c r="R1266" s="4" t="s">
        <v>2226</v>
      </c>
      <c r="S1266" s="4" t="s">
        <v>2227</v>
      </c>
      <c r="T1266" s="4" t="s">
        <v>2228</v>
      </c>
      <c r="U1266" s="4" t="s">
        <v>2248</v>
      </c>
      <c r="V1266" s="4" t="s">
        <v>220</v>
      </c>
      <c r="W1266" s="4" t="s">
        <v>2249</v>
      </c>
      <c r="X1266" s="4" t="s">
        <v>2224</v>
      </c>
      <c r="Y1266" s="4" t="s">
        <v>2317</v>
      </c>
      <c r="Z1266" s="6">
        <v>32822.800000000003</v>
      </c>
      <c r="AA1266" s="6">
        <v>393873.6</v>
      </c>
      <c r="AB1266" s="4" t="s">
        <v>2232</v>
      </c>
      <c r="AC1266" s="7" t="s">
        <v>2224</v>
      </c>
    </row>
    <row r="1267" spans="1:29" ht="15" customHeight="1" collapsed="1" thickBot="1" x14ac:dyDescent="0.3">
      <c r="A1267" s="20" t="str">
        <f>CONCATENATE("748"," - ","MR", " ","Andre"," ", "Wolmarans")</f>
        <v>748 - MR Andre Wolmarans</v>
      </c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2"/>
    </row>
    <row r="1268" spans="1:29" ht="15" hidden="1" customHeight="1" outlineLevel="1" thickBot="1" x14ac:dyDescent="0.3">
      <c r="A1268" s="4" t="s">
        <v>4139</v>
      </c>
      <c r="B1268" s="4" t="s">
        <v>662</v>
      </c>
      <c r="C1268" s="4" t="s">
        <v>2220</v>
      </c>
      <c r="D1268" s="5">
        <v>42963.290277777778</v>
      </c>
      <c r="E1268" s="4" t="s">
        <v>2221</v>
      </c>
      <c r="F1268" s="4" t="s">
        <v>2222</v>
      </c>
      <c r="G1268" s="4" t="s">
        <v>2014</v>
      </c>
      <c r="H1268" s="4" t="s">
        <v>742</v>
      </c>
      <c r="I1268" s="4" t="s">
        <v>898</v>
      </c>
      <c r="J1268" s="4" t="s">
        <v>1999</v>
      </c>
      <c r="K1268" s="5">
        <v>31400</v>
      </c>
      <c r="L1268" s="4" t="s">
        <v>4140</v>
      </c>
      <c r="M1268" s="4" t="s">
        <v>9</v>
      </c>
      <c r="N1268" s="5">
        <v>42415</v>
      </c>
      <c r="O1268" s="5" t="s">
        <v>2224</v>
      </c>
      <c r="P1268" s="4" t="s">
        <v>2224</v>
      </c>
      <c r="Q1268" s="4" t="s">
        <v>2500</v>
      </c>
      <c r="R1268" s="4" t="s">
        <v>2226</v>
      </c>
      <c r="S1268" s="4" t="s">
        <v>2227</v>
      </c>
      <c r="T1268" s="4" t="s">
        <v>2228</v>
      </c>
      <c r="U1268" s="4" t="s">
        <v>2258</v>
      </c>
      <c r="V1268" s="4" t="s">
        <v>246</v>
      </c>
      <c r="W1268" s="4" t="s">
        <v>2249</v>
      </c>
      <c r="X1268" s="4" t="s">
        <v>2224</v>
      </c>
      <c r="Y1268" s="4" t="s">
        <v>2259</v>
      </c>
      <c r="Z1268" s="6">
        <v>68050.454400000002</v>
      </c>
      <c r="AA1268" s="6">
        <v>816605.45</v>
      </c>
      <c r="AB1268" s="4" t="s">
        <v>2232</v>
      </c>
      <c r="AC1268" s="7" t="s">
        <v>2224</v>
      </c>
    </row>
    <row r="1269" spans="1:29" ht="15" customHeight="1" collapsed="1" thickBot="1" x14ac:dyDescent="0.3">
      <c r="A1269" s="20" t="str">
        <f>CONCATENATE("749"," - ","MS", " ","Hester"," ", "Wood")</f>
        <v>749 - MS Hester Wood</v>
      </c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2"/>
    </row>
    <row r="1270" spans="1:29" ht="15" hidden="1" customHeight="1" outlineLevel="1" thickBot="1" x14ac:dyDescent="0.3">
      <c r="A1270" s="4" t="s">
        <v>4141</v>
      </c>
      <c r="B1270" s="4" t="s">
        <v>658</v>
      </c>
      <c r="C1270" s="4" t="s">
        <v>2220</v>
      </c>
      <c r="D1270" s="5">
        <v>42962.462500000001</v>
      </c>
      <c r="E1270" s="4" t="s">
        <v>2221</v>
      </c>
      <c r="F1270" s="4" t="s">
        <v>2222</v>
      </c>
      <c r="G1270" s="4" t="s">
        <v>813</v>
      </c>
      <c r="H1270" s="4" t="s">
        <v>1994</v>
      </c>
      <c r="I1270" s="4" t="s">
        <v>1995</v>
      </c>
      <c r="J1270" s="4" t="s">
        <v>1993</v>
      </c>
      <c r="K1270" s="5">
        <v>21354</v>
      </c>
      <c r="L1270" s="4" t="s">
        <v>4142</v>
      </c>
      <c r="M1270" s="4" t="s">
        <v>9</v>
      </c>
      <c r="N1270" s="5">
        <v>42401</v>
      </c>
      <c r="O1270" s="5" t="s">
        <v>2224</v>
      </c>
      <c r="P1270" s="4" t="s">
        <v>2224</v>
      </c>
      <c r="Q1270" s="4" t="s">
        <v>2527</v>
      </c>
      <c r="R1270" s="4" t="s">
        <v>2226</v>
      </c>
      <c r="S1270" s="4" t="s">
        <v>2227</v>
      </c>
      <c r="T1270" s="4" t="s">
        <v>2228</v>
      </c>
      <c r="U1270" s="4" t="s">
        <v>2248</v>
      </c>
      <c r="V1270" s="4" t="s">
        <v>416</v>
      </c>
      <c r="W1270" s="4" t="s">
        <v>2249</v>
      </c>
      <c r="X1270" s="4" t="s">
        <v>2224</v>
      </c>
      <c r="Y1270" s="4" t="s">
        <v>3014</v>
      </c>
      <c r="Z1270" s="6">
        <v>56116.4</v>
      </c>
      <c r="AA1270" s="6">
        <v>673396.8</v>
      </c>
      <c r="AB1270" s="4" t="s">
        <v>2232</v>
      </c>
      <c r="AC1270" s="7" t="s">
        <v>2224</v>
      </c>
    </row>
    <row r="1271" spans="1:29" ht="15" customHeight="1" collapsed="1" thickBot="1" x14ac:dyDescent="0.3">
      <c r="A1271" s="20" t="str">
        <f>CONCATENATE("750"," - ","MR", " ","Brian"," ", "Woods")</f>
        <v>750 - MR Brian Woods</v>
      </c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2"/>
    </row>
    <row r="1272" spans="1:29" ht="15" hidden="1" customHeight="1" outlineLevel="1" thickBot="1" x14ac:dyDescent="0.3">
      <c r="A1272" s="4" t="s">
        <v>4143</v>
      </c>
      <c r="B1272" s="4" t="s">
        <v>361</v>
      </c>
      <c r="C1272" s="4" t="s">
        <v>2220</v>
      </c>
      <c r="D1272" s="5">
        <v>42963.286111111112</v>
      </c>
      <c r="E1272" s="4" t="s">
        <v>2221</v>
      </c>
      <c r="F1272" s="4" t="s">
        <v>2222</v>
      </c>
      <c r="G1272" s="4" t="s">
        <v>2014</v>
      </c>
      <c r="H1272" s="4" t="s">
        <v>1458</v>
      </c>
      <c r="I1272" s="4" t="s">
        <v>1459</v>
      </c>
      <c r="J1272" s="4" t="s">
        <v>1457</v>
      </c>
      <c r="K1272" s="5">
        <v>27723</v>
      </c>
      <c r="L1272" s="4" t="s">
        <v>4144</v>
      </c>
      <c r="M1272" s="4" t="s">
        <v>9</v>
      </c>
      <c r="N1272" s="5">
        <v>41330</v>
      </c>
      <c r="O1272" s="5" t="s">
        <v>2224</v>
      </c>
      <c r="P1272" s="4" t="s">
        <v>2224</v>
      </c>
      <c r="Q1272" s="4" t="s">
        <v>3552</v>
      </c>
      <c r="R1272" s="4" t="s">
        <v>2226</v>
      </c>
      <c r="S1272" s="4" t="s">
        <v>2227</v>
      </c>
      <c r="T1272" s="4" t="s">
        <v>2228</v>
      </c>
      <c r="U1272" s="4" t="s">
        <v>2258</v>
      </c>
      <c r="V1272" s="4" t="s">
        <v>55</v>
      </c>
      <c r="W1272" s="4" t="s">
        <v>2249</v>
      </c>
      <c r="X1272" s="4" t="s">
        <v>2224</v>
      </c>
      <c r="Y1272" s="4" t="s">
        <v>2259</v>
      </c>
      <c r="Z1272" s="6">
        <v>113024.3112</v>
      </c>
      <c r="AA1272" s="6">
        <v>1356291.73</v>
      </c>
      <c r="AB1272" s="4" t="s">
        <v>2232</v>
      </c>
      <c r="AC1272" s="7" t="s">
        <v>2224</v>
      </c>
    </row>
    <row r="1273" spans="1:29" ht="15" customHeight="1" collapsed="1" thickBot="1" x14ac:dyDescent="0.3">
      <c r="A1273" s="20" t="str">
        <f>CONCATENATE("752"," - ","MR", " ","Vinqi"," ", "Xolela")</f>
        <v>752 - MR Vinqi Xolela</v>
      </c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2"/>
    </row>
    <row r="1274" spans="1:29" ht="15" hidden="1" customHeight="1" outlineLevel="1" thickBot="1" x14ac:dyDescent="0.3">
      <c r="A1274" s="4" t="s">
        <v>4145</v>
      </c>
      <c r="B1274" s="4" t="s">
        <v>642</v>
      </c>
      <c r="C1274" s="4" t="s">
        <v>2220</v>
      </c>
      <c r="D1274" s="5">
        <v>42962.461805555555</v>
      </c>
      <c r="E1274" s="4" t="s">
        <v>2221</v>
      </c>
      <c r="F1274" s="4" t="s">
        <v>2222</v>
      </c>
      <c r="G1274" s="4" t="s">
        <v>2014</v>
      </c>
      <c r="H1274" s="4" t="s">
        <v>907</v>
      </c>
      <c r="I1274" s="4" t="s">
        <v>1970</v>
      </c>
      <c r="J1274" s="4" t="s">
        <v>1969</v>
      </c>
      <c r="K1274" s="5">
        <v>32424</v>
      </c>
      <c r="L1274" s="4" t="s">
        <v>4146</v>
      </c>
      <c r="M1274" s="4" t="s">
        <v>9</v>
      </c>
      <c r="N1274" s="5">
        <v>42339</v>
      </c>
      <c r="O1274" s="5" t="s">
        <v>2224</v>
      </c>
      <c r="P1274" s="4" t="s">
        <v>2224</v>
      </c>
      <c r="Q1274" s="4" t="s">
        <v>3882</v>
      </c>
      <c r="R1274" s="4" t="s">
        <v>2226</v>
      </c>
      <c r="S1274" s="4" t="s">
        <v>2227</v>
      </c>
      <c r="T1274" s="4" t="s">
        <v>2228</v>
      </c>
      <c r="U1274" s="4" t="s">
        <v>2229</v>
      </c>
      <c r="V1274" s="4" t="s">
        <v>25</v>
      </c>
      <c r="W1274" s="4" t="s">
        <v>2278</v>
      </c>
      <c r="X1274" s="4" t="s">
        <v>2224</v>
      </c>
      <c r="Y1274" s="4" t="s">
        <v>2449</v>
      </c>
      <c r="Z1274" s="6">
        <v>10577.9308</v>
      </c>
      <c r="AA1274" s="6">
        <v>126935.17</v>
      </c>
      <c r="AB1274" s="4" t="s">
        <v>2232</v>
      </c>
      <c r="AC1274" s="7" t="s">
        <v>2224</v>
      </c>
    </row>
    <row r="1275" spans="1:29" ht="15" customHeight="1" collapsed="1" thickBot="1" x14ac:dyDescent="0.3">
      <c r="A1275" s="20" t="str">
        <f>CONCATENATE("753"," - ","MISS", " ","MBIKAZI"," ", "Zantsi")</f>
        <v>753 - MISS MBIKAZI Zantsi</v>
      </c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2"/>
    </row>
    <row r="1276" spans="1:29" ht="15" hidden="1" customHeight="1" outlineLevel="1" thickBot="1" x14ac:dyDescent="0.3">
      <c r="A1276" s="4" t="s">
        <v>4147</v>
      </c>
      <c r="B1276" s="4" t="s">
        <v>178</v>
      </c>
      <c r="C1276" s="4" t="s">
        <v>2220</v>
      </c>
      <c r="D1276" s="5">
        <v>42962.549999999996</v>
      </c>
      <c r="E1276" s="4" t="s">
        <v>2221</v>
      </c>
      <c r="F1276" s="4" t="s">
        <v>2222</v>
      </c>
      <c r="G1276" s="4" t="s">
        <v>2234</v>
      </c>
      <c r="H1276" s="4" t="s">
        <v>788</v>
      </c>
      <c r="I1276" s="4" t="s">
        <v>1116</v>
      </c>
      <c r="J1276" s="4" t="s">
        <v>1115</v>
      </c>
      <c r="K1276" s="5">
        <v>32396</v>
      </c>
      <c r="L1276" s="4" t="s">
        <v>4148</v>
      </c>
      <c r="M1276" s="4" t="s">
        <v>9</v>
      </c>
      <c r="N1276" s="5">
        <v>39387</v>
      </c>
      <c r="O1276" s="5" t="s">
        <v>2224</v>
      </c>
      <c r="P1276" s="4" t="s">
        <v>2224</v>
      </c>
      <c r="Q1276" s="4" t="s">
        <v>4149</v>
      </c>
      <c r="R1276" s="4" t="s">
        <v>2226</v>
      </c>
      <c r="S1276" s="4" t="s">
        <v>2227</v>
      </c>
      <c r="T1276" s="4" t="s">
        <v>2228</v>
      </c>
      <c r="U1276" s="4" t="s">
        <v>2237</v>
      </c>
      <c r="V1276" s="4" t="s">
        <v>125</v>
      </c>
      <c r="W1276" s="4" t="s">
        <v>2230</v>
      </c>
      <c r="X1276" s="4" t="s">
        <v>2224</v>
      </c>
      <c r="Y1276" s="4" t="s">
        <v>2239</v>
      </c>
      <c r="Z1276" s="6">
        <v>20140.25</v>
      </c>
      <c r="AA1276" s="6">
        <v>241683</v>
      </c>
      <c r="AB1276" s="4" t="s">
        <v>2232</v>
      </c>
      <c r="AC1276" s="7" t="s">
        <v>2224</v>
      </c>
    </row>
    <row r="1277" spans="1:29" ht="15" customHeight="1" collapsed="1" thickBot="1" x14ac:dyDescent="0.3">
      <c r="A1277" s="20" t="str">
        <f>CONCATENATE("754"," - ","MISS", " ","Mariska"," ", "Zietsman")</f>
        <v>754 - MISS Mariska Zietsman</v>
      </c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2"/>
    </row>
    <row r="1278" spans="1:29" ht="15" hidden="1" customHeight="1" outlineLevel="1" thickBot="1" x14ac:dyDescent="0.3">
      <c r="A1278" s="4" t="s">
        <v>4150</v>
      </c>
      <c r="B1278" s="4" t="s">
        <v>477</v>
      </c>
      <c r="C1278" s="4" t="s">
        <v>2220</v>
      </c>
      <c r="D1278" s="5">
        <v>42962.549999999996</v>
      </c>
      <c r="E1278" s="4" t="s">
        <v>2221</v>
      </c>
      <c r="F1278" s="4" t="s">
        <v>2222</v>
      </c>
      <c r="G1278" s="4" t="s">
        <v>2234</v>
      </c>
      <c r="H1278" s="4" t="s">
        <v>788</v>
      </c>
      <c r="I1278" s="4" t="s">
        <v>1689</v>
      </c>
      <c r="J1278" s="4" t="s">
        <v>1688</v>
      </c>
      <c r="K1278" s="5">
        <v>32623</v>
      </c>
      <c r="L1278" s="4" t="s">
        <v>4151</v>
      </c>
      <c r="M1278" s="4" t="s">
        <v>9</v>
      </c>
      <c r="N1278" s="5">
        <v>41855</v>
      </c>
      <c r="O1278" s="5" t="s">
        <v>2224</v>
      </c>
      <c r="P1278" s="4" t="s">
        <v>2224</v>
      </c>
      <c r="Q1278" s="4" t="s">
        <v>4152</v>
      </c>
      <c r="R1278" s="4" t="s">
        <v>2226</v>
      </c>
      <c r="S1278" s="4" t="s">
        <v>2227</v>
      </c>
      <c r="T1278" s="4" t="s">
        <v>2228</v>
      </c>
      <c r="U1278" s="4" t="s">
        <v>2237</v>
      </c>
      <c r="V1278" s="4" t="s">
        <v>8</v>
      </c>
      <c r="W1278" s="4" t="s">
        <v>2278</v>
      </c>
      <c r="X1278" s="4" t="s">
        <v>2224</v>
      </c>
      <c r="Y1278" s="4" t="s">
        <v>2239</v>
      </c>
      <c r="Z1278" s="6">
        <v>16486.259999999998</v>
      </c>
      <c r="AA1278" s="6">
        <v>197835.12</v>
      </c>
      <c r="AB1278" s="4" t="s">
        <v>2232</v>
      </c>
      <c r="AC1278" s="7" t="s">
        <v>2224</v>
      </c>
    </row>
    <row r="1279" spans="1:29" ht="15" customHeight="1" collapsed="1" thickBot="1" x14ac:dyDescent="0.3">
      <c r="A1279" s="20" t="str">
        <f>CONCATENATE("756"," - ","MS", " ","Sarah"," ", "Zulu")</f>
        <v>756 - MS Sarah Zulu</v>
      </c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2"/>
    </row>
    <row r="1280" spans="1:29" ht="15" hidden="1" customHeight="1" outlineLevel="1" thickBot="1" x14ac:dyDescent="0.3">
      <c r="A1280" s="4" t="s">
        <v>4153</v>
      </c>
      <c r="B1280" s="4" t="s">
        <v>631</v>
      </c>
      <c r="C1280" s="4" t="s">
        <v>2220</v>
      </c>
      <c r="D1280" s="5">
        <v>42962.549999999996</v>
      </c>
      <c r="E1280" s="4" t="s">
        <v>2221</v>
      </c>
      <c r="F1280" s="4" t="s">
        <v>2222</v>
      </c>
      <c r="G1280" s="4" t="s">
        <v>813</v>
      </c>
      <c r="H1280" s="4" t="s">
        <v>800</v>
      </c>
      <c r="I1280" s="4" t="s">
        <v>1099</v>
      </c>
      <c r="J1280" s="4" t="s">
        <v>1954</v>
      </c>
      <c r="K1280" s="5">
        <v>34957</v>
      </c>
      <c r="L1280" s="4" t="s">
        <v>4154</v>
      </c>
      <c r="M1280" s="4" t="s">
        <v>9</v>
      </c>
      <c r="N1280" s="5">
        <v>42303</v>
      </c>
      <c r="O1280" s="5" t="s">
        <v>2224</v>
      </c>
      <c r="P1280" s="4" t="s">
        <v>2224</v>
      </c>
      <c r="Q1280" s="4" t="s">
        <v>3856</v>
      </c>
      <c r="R1280" s="4" t="s">
        <v>2226</v>
      </c>
      <c r="S1280" s="4" t="s">
        <v>2227</v>
      </c>
      <c r="T1280" s="4" t="s">
        <v>2228</v>
      </c>
      <c r="U1280" s="4" t="s">
        <v>2237</v>
      </c>
      <c r="V1280" s="4" t="s">
        <v>8</v>
      </c>
      <c r="W1280" s="4" t="s">
        <v>2278</v>
      </c>
      <c r="X1280" s="4" t="s">
        <v>2224</v>
      </c>
      <c r="Y1280" s="4" t="s">
        <v>2239</v>
      </c>
      <c r="Z1280" s="6">
        <v>16081.7</v>
      </c>
      <c r="AA1280" s="6">
        <v>192980.4</v>
      </c>
      <c r="AB1280" s="4" t="s">
        <v>2232</v>
      </c>
      <c r="AC1280" s="7" t="s">
        <v>2224</v>
      </c>
    </row>
    <row r="1281" spans="1:29" ht="15" customHeight="1" collapsed="1" thickBot="1" x14ac:dyDescent="0.3">
      <c r="A1281" s="20" t="str">
        <f>CONCATENATE("757"," - ","MS", " ","Rachel"," ", "Mathebe")</f>
        <v>757 - MS Rachel Mathebe</v>
      </c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2"/>
    </row>
    <row r="1282" spans="1:29" ht="15" hidden="1" customHeight="1" outlineLevel="1" thickBot="1" x14ac:dyDescent="0.3">
      <c r="A1282" s="4" t="s">
        <v>4155</v>
      </c>
      <c r="B1282" s="4" t="s">
        <v>702</v>
      </c>
      <c r="C1282" s="4" t="s">
        <v>2220</v>
      </c>
      <c r="D1282" s="5">
        <v>42962.462500000001</v>
      </c>
      <c r="E1282" s="4" t="s">
        <v>2221</v>
      </c>
      <c r="F1282" s="4" t="s">
        <v>2222</v>
      </c>
      <c r="G1282" s="4" t="s">
        <v>813</v>
      </c>
      <c r="H1282" s="4" t="s">
        <v>844</v>
      </c>
      <c r="I1282" s="4" t="s">
        <v>2069</v>
      </c>
      <c r="J1282" s="4" t="s">
        <v>2068</v>
      </c>
      <c r="K1282" s="5">
        <v>23801</v>
      </c>
      <c r="L1282" s="4" t="s">
        <v>4156</v>
      </c>
      <c r="M1282" s="4" t="s">
        <v>9</v>
      </c>
      <c r="N1282" s="5">
        <v>42552</v>
      </c>
      <c r="O1282" s="5" t="s">
        <v>2224</v>
      </c>
      <c r="P1282" s="4" t="s">
        <v>2224</v>
      </c>
      <c r="Q1282" s="4" t="s">
        <v>4157</v>
      </c>
      <c r="R1282" s="4" t="s">
        <v>2226</v>
      </c>
      <c r="S1282" s="4" t="s">
        <v>2227</v>
      </c>
      <c r="T1282" s="4" t="s">
        <v>2228</v>
      </c>
      <c r="U1282" s="4" t="s">
        <v>2248</v>
      </c>
      <c r="V1282" s="4" t="s">
        <v>252</v>
      </c>
      <c r="W1282" s="4" t="s">
        <v>2468</v>
      </c>
      <c r="X1282" s="4" t="s">
        <v>2224</v>
      </c>
      <c r="Y1282" s="4" t="s">
        <v>3010</v>
      </c>
      <c r="Z1282" s="6">
        <v>4908.7449999999999</v>
      </c>
      <c r="AA1282" s="6">
        <v>58904.94</v>
      </c>
      <c r="AB1282" s="4" t="s">
        <v>2232</v>
      </c>
      <c r="AC1282" s="7" t="s">
        <v>2224</v>
      </c>
    </row>
    <row r="1283" spans="1:29" ht="15" customHeight="1" collapsed="1" thickBot="1" x14ac:dyDescent="0.3">
      <c r="A1283" s="20" t="str">
        <f>CONCATENATE("76"," - ","MISS", " ","Yvette"," ", "Brooks")</f>
        <v>76 - MISS Yvette Brooks</v>
      </c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2"/>
    </row>
    <row r="1284" spans="1:29" ht="15" hidden="1" customHeight="1" outlineLevel="1" thickBot="1" x14ac:dyDescent="0.3">
      <c r="A1284" s="4" t="s">
        <v>4158</v>
      </c>
      <c r="B1284" s="4" t="s">
        <v>341</v>
      </c>
      <c r="C1284" s="4" t="s">
        <v>2220</v>
      </c>
      <c r="D1284" s="5">
        <v>42962.461805555555</v>
      </c>
      <c r="E1284" s="4" t="s">
        <v>2221</v>
      </c>
      <c r="F1284" s="4" t="s">
        <v>2222</v>
      </c>
      <c r="G1284" s="4" t="s">
        <v>2234</v>
      </c>
      <c r="H1284" s="4" t="s">
        <v>1421</v>
      </c>
      <c r="I1284" s="4" t="s">
        <v>1422</v>
      </c>
      <c r="J1284" s="4" t="s">
        <v>1420</v>
      </c>
      <c r="K1284" s="5">
        <v>30477</v>
      </c>
      <c r="L1284" s="4" t="s">
        <v>4159</v>
      </c>
      <c r="M1284" s="4" t="s">
        <v>9</v>
      </c>
      <c r="N1284" s="5">
        <v>41288</v>
      </c>
      <c r="O1284" s="5" t="s">
        <v>2224</v>
      </c>
      <c r="P1284" s="4" t="s">
        <v>2224</v>
      </c>
      <c r="Q1284" s="4" t="s">
        <v>4160</v>
      </c>
      <c r="R1284" s="4" t="s">
        <v>2226</v>
      </c>
      <c r="S1284" s="4" t="s">
        <v>2227</v>
      </c>
      <c r="T1284" s="4" t="s">
        <v>2228</v>
      </c>
      <c r="U1284" s="4" t="s">
        <v>2229</v>
      </c>
      <c r="V1284" s="4" t="s">
        <v>25</v>
      </c>
      <c r="W1284" s="4" t="s">
        <v>2278</v>
      </c>
      <c r="X1284" s="4" t="s">
        <v>2224</v>
      </c>
      <c r="Y1284" s="4" t="s">
        <v>2469</v>
      </c>
      <c r="Z1284" s="6">
        <v>16692.34</v>
      </c>
      <c r="AA1284" s="6">
        <v>200308.08</v>
      </c>
      <c r="AB1284" s="4" t="s">
        <v>2232</v>
      </c>
      <c r="AC1284" s="7" t="s">
        <v>2224</v>
      </c>
    </row>
    <row r="1285" spans="1:29" ht="15" customHeight="1" collapsed="1" thickBot="1" x14ac:dyDescent="0.3">
      <c r="A1285" s="20" t="str">
        <f>CONCATENATE("77"," - ","MISS", " ","Anita"," ", "Brouwer")</f>
        <v>77 - MISS Anita Brouwer</v>
      </c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2"/>
    </row>
    <row r="1286" spans="1:29" ht="15" hidden="1" customHeight="1" outlineLevel="1" thickBot="1" x14ac:dyDescent="0.3">
      <c r="A1286" s="4" t="s">
        <v>4161</v>
      </c>
      <c r="B1286" s="4" t="s">
        <v>209</v>
      </c>
      <c r="C1286" s="4" t="s">
        <v>2220</v>
      </c>
      <c r="D1286" s="5">
        <v>42962.461805555555</v>
      </c>
      <c r="E1286" s="4" t="s">
        <v>2221</v>
      </c>
      <c r="F1286" s="4" t="s">
        <v>2222</v>
      </c>
      <c r="G1286" s="4" t="s">
        <v>2234</v>
      </c>
      <c r="H1286" s="4" t="s">
        <v>1174</v>
      </c>
      <c r="I1286" s="4" t="s">
        <v>1175</v>
      </c>
      <c r="J1286" s="4" t="s">
        <v>1173</v>
      </c>
      <c r="K1286" s="5">
        <v>29012</v>
      </c>
      <c r="L1286" s="4" t="s">
        <v>4162</v>
      </c>
      <c r="M1286" s="4" t="s">
        <v>9</v>
      </c>
      <c r="N1286" s="5">
        <v>39715</v>
      </c>
      <c r="O1286" s="5" t="s">
        <v>2224</v>
      </c>
      <c r="P1286" s="4" t="s">
        <v>2224</v>
      </c>
      <c r="Q1286" s="4" t="s">
        <v>4163</v>
      </c>
      <c r="R1286" s="4" t="s">
        <v>2226</v>
      </c>
      <c r="S1286" s="4" t="s">
        <v>2227</v>
      </c>
      <c r="T1286" s="4" t="s">
        <v>2228</v>
      </c>
      <c r="U1286" s="4" t="s">
        <v>2229</v>
      </c>
      <c r="V1286" s="4" t="s">
        <v>25</v>
      </c>
      <c r="W1286" s="4" t="s">
        <v>2278</v>
      </c>
      <c r="X1286" s="4" t="s">
        <v>2224</v>
      </c>
      <c r="Y1286" s="4" t="s">
        <v>2231</v>
      </c>
      <c r="Z1286" s="6">
        <v>17112.2621</v>
      </c>
      <c r="AA1286" s="6">
        <v>205347.15</v>
      </c>
      <c r="AB1286" s="4" t="s">
        <v>2232</v>
      </c>
      <c r="AC1286" s="7" t="s">
        <v>2224</v>
      </c>
    </row>
    <row r="1287" spans="1:29" ht="15" customHeight="1" collapsed="1" thickBot="1" x14ac:dyDescent="0.3">
      <c r="A1287" s="20" t="str">
        <f>CONCATENATE("78"," - ","MR", " ","Nicholas"," ", "Brown")</f>
        <v>78 - MR Nicholas Brown</v>
      </c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2"/>
    </row>
    <row r="1288" spans="1:29" ht="15" hidden="1" customHeight="1" outlineLevel="1" thickBot="1" x14ac:dyDescent="0.3">
      <c r="A1288" s="4" t="s">
        <v>4164</v>
      </c>
      <c r="B1288" s="4" t="s">
        <v>657</v>
      </c>
      <c r="C1288" s="4" t="s">
        <v>2220</v>
      </c>
      <c r="D1288" s="5">
        <v>42963.289583333331</v>
      </c>
      <c r="E1288" s="4" t="s">
        <v>2221</v>
      </c>
      <c r="F1288" s="4" t="s">
        <v>2222</v>
      </c>
      <c r="G1288" s="4" t="s">
        <v>2014</v>
      </c>
      <c r="H1288" s="4" t="s">
        <v>797</v>
      </c>
      <c r="I1288" s="4" t="s">
        <v>1992</v>
      </c>
      <c r="J1288" s="4" t="s">
        <v>1991</v>
      </c>
      <c r="K1288" s="5">
        <v>29336</v>
      </c>
      <c r="L1288" s="4" t="s">
        <v>4165</v>
      </c>
      <c r="M1288" s="4" t="s">
        <v>9</v>
      </c>
      <c r="N1288" s="5">
        <v>42370</v>
      </c>
      <c r="O1288" s="5" t="s">
        <v>2224</v>
      </c>
      <c r="P1288" s="4" t="s">
        <v>2224</v>
      </c>
      <c r="Q1288" s="4" t="s">
        <v>3948</v>
      </c>
      <c r="R1288" s="4" t="s">
        <v>2226</v>
      </c>
      <c r="S1288" s="4" t="s">
        <v>2227</v>
      </c>
      <c r="T1288" s="4" t="s">
        <v>2228</v>
      </c>
      <c r="U1288" s="4" t="s">
        <v>2258</v>
      </c>
      <c r="V1288" s="4" t="s">
        <v>246</v>
      </c>
      <c r="W1288" s="4" t="s">
        <v>2249</v>
      </c>
      <c r="X1288" s="4" t="s">
        <v>2224</v>
      </c>
      <c r="Y1288" s="4" t="s">
        <v>2259</v>
      </c>
      <c r="Z1288" s="6">
        <v>68050.454400000002</v>
      </c>
      <c r="AA1288" s="6">
        <v>816605.45</v>
      </c>
      <c r="AB1288" s="4" t="s">
        <v>2232</v>
      </c>
      <c r="AC1288" s="7" t="s">
        <v>2224</v>
      </c>
    </row>
    <row r="1289" spans="1:29" ht="15" customHeight="1" collapsed="1" thickBot="1" x14ac:dyDescent="0.3">
      <c r="A1289" s="20" t="str">
        <f>CONCATENATE("789"," - ","MISS", " ","Phaladi"," ", "Molebogeng")</f>
        <v>789 - MISS Phaladi Molebogeng</v>
      </c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2"/>
    </row>
    <row r="1290" spans="1:29" ht="15" hidden="1" customHeight="1" outlineLevel="1" thickBot="1" x14ac:dyDescent="0.3">
      <c r="A1290" s="4" t="s">
        <v>4166</v>
      </c>
      <c r="B1290" s="4" t="s">
        <v>7</v>
      </c>
      <c r="C1290" s="4" t="s">
        <v>2220</v>
      </c>
      <c r="D1290" s="5">
        <v>42962.520833333328</v>
      </c>
      <c r="E1290" s="4" t="s">
        <v>2221</v>
      </c>
      <c r="F1290" s="4" t="s">
        <v>2222</v>
      </c>
      <c r="G1290" s="4" t="s">
        <v>2234</v>
      </c>
      <c r="H1290" s="4" t="s">
        <v>781</v>
      </c>
      <c r="I1290" s="4" t="s">
        <v>782</v>
      </c>
      <c r="J1290" s="4" t="s">
        <v>780</v>
      </c>
      <c r="K1290" s="5">
        <v>32488</v>
      </c>
      <c r="L1290" s="4" t="s">
        <v>4167</v>
      </c>
      <c r="M1290" s="4" t="s">
        <v>9</v>
      </c>
      <c r="N1290" s="5">
        <v>42645</v>
      </c>
      <c r="O1290" s="5" t="s">
        <v>2224</v>
      </c>
      <c r="P1290" s="4" t="s">
        <v>2224</v>
      </c>
      <c r="Q1290" s="4" t="s">
        <v>4168</v>
      </c>
      <c r="R1290" s="4" t="s">
        <v>2226</v>
      </c>
      <c r="S1290" s="4" t="s">
        <v>2227</v>
      </c>
      <c r="T1290" s="4" t="s">
        <v>2228</v>
      </c>
      <c r="U1290" s="4" t="s">
        <v>2237</v>
      </c>
      <c r="V1290" s="4" t="s">
        <v>8</v>
      </c>
      <c r="W1290" s="4" t="s">
        <v>2238</v>
      </c>
      <c r="X1290" s="4" t="s">
        <v>2224</v>
      </c>
      <c r="Y1290" s="4" t="s">
        <v>2239</v>
      </c>
      <c r="Z1290" s="6">
        <v>15883.16</v>
      </c>
      <c r="AA1290" s="6">
        <v>190597.92</v>
      </c>
      <c r="AB1290" s="4" t="s">
        <v>2224</v>
      </c>
      <c r="AC1290" s="7" t="s">
        <v>2244</v>
      </c>
    </row>
    <row r="1291" spans="1:29" ht="15" customHeight="1" collapsed="1" thickBot="1" x14ac:dyDescent="0.3">
      <c r="A1291" s="20" t="str">
        <f>CONCATENATE("79"," - ","MISS", " ","YOLANDA"," ", "Brummer")</f>
        <v>79 - MISS YOLANDA Brummer</v>
      </c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2"/>
    </row>
    <row r="1292" spans="1:29" ht="15" hidden="1" customHeight="1" outlineLevel="1" thickBot="1" x14ac:dyDescent="0.3">
      <c r="A1292" s="4" t="s">
        <v>4169</v>
      </c>
      <c r="B1292" s="4" t="s">
        <v>176</v>
      </c>
      <c r="C1292" s="4" t="s">
        <v>2220</v>
      </c>
      <c r="D1292" s="5">
        <v>42962.536111111112</v>
      </c>
      <c r="E1292" s="4" t="s">
        <v>2221</v>
      </c>
      <c r="F1292" s="4" t="s">
        <v>2222</v>
      </c>
      <c r="G1292" s="4" t="s">
        <v>2234</v>
      </c>
      <c r="H1292" s="4" t="s">
        <v>794</v>
      </c>
      <c r="I1292" s="4" t="s">
        <v>1112</v>
      </c>
      <c r="J1292" s="4" t="s">
        <v>1111</v>
      </c>
      <c r="K1292" s="5">
        <v>29704</v>
      </c>
      <c r="L1292" s="4" t="s">
        <v>4170</v>
      </c>
      <c r="M1292" s="4" t="s">
        <v>9</v>
      </c>
      <c r="N1292" s="5">
        <v>39387</v>
      </c>
      <c r="O1292" s="5" t="s">
        <v>2224</v>
      </c>
      <c r="P1292" s="4" t="s">
        <v>2224</v>
      </c>
      <c r="Q1292" s="4" t="s">
        <v>4171</v>
      </c>
      <c r="R1292" s="4" t="s">
        <v>2226</v>
      </c>
      <c r="S1292" s="4" t="s">
        <v>2227</v>
      </c>
      <c r="T1292" s="4" t="s">
        <v>2228</v>
      </c>
      <c r="U1292" s="4" t="s">
        <v>2237</v>
      </c>
      <c r="V1292" s="4" t="s">
        <v>8</v>
      </c>
      <c r="W1292" s="4" t="s">
        <v>2238</v>
      </c>
      <c r="X1292" s="4" t="s">
        <v>2224</v>
      </c>
      <c r="Y1292" s="4" t="s">
        <v>2239</v>
      </c>
      <c r="Z1292" s="6">
        <v>17112.251499999998</v>
      </c>
      <c r="AA1292" s="6">
        <v>205347.02</v>
      </c>
      <c r="AB1292" s="4" t="s">
        <v>2232</v>
      </c>
      <c r="AC1292" s="7" t="s">
        <v>2224</v>
      </c>
    </row>
    <row r="1293" spans="1:29" ht="15" customHeight="1" collapsed="1" thickBot="1" x14ac:dyDescent="0.3">
      <c r="A1293" s="20" t="str">
        <f>CONCATENATE("796"," - ","MR", " ","Hanro"," ", "van der Merwe")</f>
        <v>796 - MR Hanro van der Merwe</v>
      </c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2"/>
    </row>
    <row r="1294" spans="1:29" ht="15" hidden="1" customHeight="1" outlineLevel="1" thickBot="1" x14ac:dyDescent="0.3">
      <c r="A1294" s="4" t="s">
        <v>4172</v>
      </c>
      <c r="B1294" s="4" t="s">
        <v>712</v>
      </c>
      <c r="C1294" s="4" t="s">
        <v>2220</v>
      </c>
      <c r="D1294" s="5">
        <v>42957.397222222222</v>
      </c>
      <c r="E1294" s="4" t="s">
        <v>2221</v>
      </c>
      <c r="F1294" s="4" t="s">
        <v>2222</v>
      </c>
      <c r="G1294" s="4" t="s">
        <v>2014</v>
      </c>
      <c r="H1294" s="4" t="s">
        <v>832</v>
      </c>
      <c r="I1294" s="4" t="s">
        <v>2086</v>
      </c>
      <c r="J1294" s="4" t="s">
        <v>2085</v>
      </c>
      <c r="K1294" s="5">
        <v>32579</v>
      </c>
      <c r="L1294" s="4" t="s">
        <v>4173</v>
      </c>
      <c r="M1294" s="4" t="s">
        <v>9</v>
      </c>
      <c r="N1294" s="5">
        <v>42614</v>
      </c>
      <c r="O1294" s="5" t="s">
        <v>2224</v>
      </c>
      <c r="P1294" s="4" t="s">
        <v>2224</v>
      </c>
      <c r="Q1294" s="4" t="s">
        <v>4174</v>
      </c>
      <c r="R1294" s="4" t="s">
        <v>2226</v>
      </c>
      <c r="S1294" s="4" t="s">
        <v>2227</v>
      </c>
      <c r="T1294" s="4" t="s">
        <v>2228</v>
      </c>
      <c r="U1294" s="4" t="s">
        <v>2258</v>
      </c>
      <c r="V1294" s="4" t="s">
        <v>246</v>
      </c>
      <c r="W1294" s="4" t="s">
        <v>2249</v>
      </c>
      <c r="X1294" s="4" t="s">
        <v>2224</v>
      </c>
      <c r="Y1294" s="4" t="s">
        <v>2259</v>
      </c>
      <c r="Z1294" s="6">
        <v>68050.460000000006</v>
      </c>
      <c r="AA1294" s="6">
        <v>816605.52</v>
      </c>
      <c r="AB1294" s="4" t="s">
        <v>2232</v>
      </c>
      <c r="AC1294" s="7" t="s">
        <v>2244</v>
      </c>
    </row>
    <row r="1295" spans="1:29" ht="15" customHeight="1" collapsed="1" thickBot="1" x14ac:dyDescent="0.3">
      <c r="A1295" s="20" t="str">
        <f>CONCATENATE("797"," - ","MR", " ","Andre"," ", "van Aurich")</f>
        <v>797 - MR Andre van Aurich</v>
      </c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2"/>
    </row>
    <row r="1296" spans="1:29" ht="15" hidden="1" customHeight="1" outlineLevel="1" thickBot="1" x14ac:dyDescent="0.3">
      <c r="A1296" s="4" t="s">
        <v>4175</v>
      </c>
      <c r="B1296" s="4" t="s">
        <v>713</v>
      </c>
      <c r="C1296" s="4" t="s">
        <v>2220</v>
      </c>
      <c r="D1296" s="5">
        <v>42957.397916666661</v>
      </c>
      <c r="E1296" s="4" t="s">
        <v>2221</v>
      </c>
      <c r="F1296" s="4" t="s">
        <v>2222</v>
      </c>
      <c r="G1296" s="4" t="s">
        <v>2014</v>
      </c>
      <c r="H1296" s="4" t="s">
        <v>742</v>
      </c>
      <c r="I1296" s="4" t="s">
        <v>898</v>
      </c>
      <c r="J1296" s="4" t="s">
        <v>2087</v>
      </c>
      <c r="K1296" s="5">
        <v>28479</v>
      </c>
      <c r="L1296" s="4" t="s">
        <v>4176</v>
      </c>
      <c r="M1296" s="4" t="s">
        <v>9</v>
      </c>
      <c r="N1296" s="5">
        <v>42614</v>
      </c>
      <c r="O1296" s="5" t="s">
        <v>2224</v>
      </c>
      <c r="P1296" s="4" t="s">
        <v>2224</v>
      </c>
      <c r="Q1296" s="4" t="s">
        <v>4177</v>
      </c>
      <c r="R1296" s="4" t="s">
        <v>2226</v>
      </c>
      <c r="S1296" s="4" t="s">
        <v>2227</v>
      </c>
      <c r="T1296" s="4" t="s">
        <v>2228</v>
      </c>
      <c r="U1296" s="4" t="s">
        <v>2258</v>
      </c>
      <c r="V1296" s="4" t="s">
        <v>246</v>
      </c>
      <c r="W1296" s="4" t="s">
        <v>2249</v>
      </c>
      <c r="X1296" s="4" t="s">
        <v>2224</v>
      </c>
      <c r="Y1296" s="4" t="s">
        <v>2259</v>
      </c>
      <c r="Z1296" s="6">
        <v>68050.460000000006</v>
      </c>
      <c r="AA1296" s="6">
        <v>816605.52</v>
      </c>
      <c r="AB1296" s="4" t="s">
        <v>2232</v>
      </c>
      <c r="AC1296" s="7" t="s">
        <v>2244</v>
      </c>
    </row>
    <row r="1297" spans="1:29" ht="15" customHeight="1" collapsed="1" thickBot="1" x14ac:dyDescent="0.3">
      <c r="A1297" s="20" t="str">
        <f>CONCATENATE("798"," - ","MS", " ","Naziema"," ", "Barnes")</f>
        <v>798 - MS Naziema Barnes</v>
      </c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2"/>
    </row>
    <row r="1298" spans="1:29" ht="15" hidden="1" customHeight="1" outlineLevel="1" thickBot="1" x14ac:dyDescent="0.3">
      <c r="A1298" s="4" t="s">
        <v>4178</v>
      </c>
      <c r="B1298" s="4" t="s">
        <v>711</v>
      </c>
      <c r="C1298" s="4" t="s">
        <v>2220</v>
      </c>
      <c r="D1298" s="5">
        <v>42962.462500000001</v>
      </c>
      <c r="E1298" s="4" t="s">
        <v>2221</v>
      </c>
      <c r="F1298" s="4" t="s">
        <v>2222</v>
      </c>
      <c r="G1298" s="4" t="s">
        <v>813</v>
      </c>
      <c r="H1298" s="4" t="s">
        <v>797</v>
      </c>
      <c r="I1298" s="4" t="s">
        <v>2084</v>
      </c>
      <c r="J1298" s="4" t="s">
        <v>2083</v>
      </c>
      <c r="K1298" s="5">
        <v>28215</v>
      </c>
      <c r="L1298" s="4" t="s">
        <v>4179</v>
      </c>
      <c r="M1298" s="4" t="s">
        <v>9</v>
      </c>
      <c r="N1298" s="5">
        <v>42614</v>
      </c>
      <c r="O1298" s="5" t="s">
        <v>2224</v>
      </c>
      <c r="P1298" s="4" t="s">
        <v>2224</v>
      </c>
      <c r="Q1298" s="4" t="s">
        <v>4180</v>
      </c>
      <c r="R1298" s="4" t="s">
        <v>2226</v>
      </c>
      <c r="S1298" s="4" t="s">
        <v>2227</v>
      </c>
      <c r="T1298" s="4" t="s">
        <v>2228</v>
      </c>
      <c r="U1298" s="4" t="s">
        <v>2248</v>
      </c>
      <c r="V1298" s="4" t="s">
        <v>416</v>
      </c>
      <c r="W1298" s="4" t="s">
        <v>2249</v>
      </c>
      <c r="X1298" s="4" t="s">
        <v>2224</v>
      </c>
      <c r="Y1298" s="4" t="s">
        <v>3014</v>
      </c>
      <c r="Z1298" s="6">
        <v>47646</v>
      </c>
      <c r="AA1298" s="6">
        <v>571752</v>
      </c>
      <c r="AB1298" s="4" t="s">
        <v>2232</v>
      </c>
      <c r="AC1298" s="7" t="s">
        <v>2244</v>
      </c>
    </row>
    <row r="1299" spans="1:29" ht="15" customHeight="1" collapsed="1" thickBot="1" x14ac:dyDescent="0.3">
      <c r="A1299" s="20" t="str">
        <f>CONCATENATE("80"," - ","MR", " ","Bjorn"," ", "Buchner")</f>
        <v>80 - MR Bjorn Buchner</v>
      </c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2"/>
    </row>
    <row r="1300" spans="1:29" ht="15" hidden="1" customHeight="1" outlineLevel="1" thickBot="1" x14ac:dyDescent="0.3">
      <c r="A1300" s="4" t="s">
        <v>4181</v>
      </c>
      <c r="B1300" s="4" t="s">
        <v>608</v>
      </c>
      <c r="C1300" s="4" t="s">
        <v>2220</v>
      </c>
      <c r="D1300" s="5">
        <v>42963.288888888885</v>
      </c>
      <c r="E1300" s="4" t="s">
        <v>2221</v>
      </c>
      <c r="F1300" s="4" t="s">
        <v>2222</v>
      </c>
      <c r="G1300" s="4" t="s">
        <v>2014</v>
      </c>
      <c r="H1300" s="4" t="s">
        <v>1920</v>
      </c>
      <c r="I1300" s="4" t="s">
        <v>1921</v>
      </c>
      <c r="J1300" s="4" t="s">
        <v>1919</v>
      </c>
      <c r="K1300" s="5">
        <v>28769</v>
      </c>
      <c r="L1300" s="4" t="s">
        <v>4182</v>
      </c>
      <c r="M1300" s="4" t="s">
        <v>9</v>
      </c>
      <c r="N1300" s="5">
        <v>42219</v>
      </c>
      <c r="O1300" s="5" t="s">
        <v>2224</v>
      </c>
      <c r="P1300" s="4" t="s">
        <v>2224</v>
      </c>
      <c r="Q1300" s="4" t="s">
        <v>4183</v>
      </c>
      <c r="R1300" s="4" t="s">
        <v>2226</v>
      </c>
      <c r="S1300" s="4" t="s">
        <v>2227</v>
      </c>
      <c r="T1300" s="4" t="s">
        <v>2228</v>
      </c>
      <c r="U1300" s="4" t="s">
        <v>2258</v>
      </c>
      <c r="V1300" s="4" t="s">
        <v>246</v>
      </c>
      <c r="W1300" s="4" t="s">
        <v>2249</v>
      </c>
      <c r="X1300" s="4" t="s">
        <v>2224</v>
      </c>
      <c r="Y1300" s="4" t="s">
        <v>2259</v>
      </c>
      <c r="Z1300" s="6">
        <v>69411.47</v>
      </c>
      <c r="AA1300" s="6">
        <v>832937.64</v>
      </c>
      <c r="AB1300" s="4" t="s">
        <v>2232</v>
      </c>
      <c r="AC1300" s="7" t="s">
        <v>2224</v>
      </c>
    </row>
    <row r="1301" spans="1:29" ht="15" customHeight="1" collapsed="1" thickBot="1" x14ac:dyDescent="0.3">
      <c r="A1301" s="20" t="str">
        <f>CONCATENATE("800"," - ","MR", " ","Sifiso"," ", "Zimba")</f>
        <v>800 - MR Sifiso Zimba</v>
      </c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2"/>
    </row>
    <row r="1302" spans="1:29" ht="15" hidden="1" customHeight="1" outlineLevel="1" thickBot="1" x14ac:dyDescent="0.3">
      <c r="A1302" s="4" t="s">
        <v>4184</v>
      </c>
      <c r="B1302" s="4" t="s">
        <v>715</v>
      </c>
      <c r="C1302" s="4" t="s">
        <v>2220</v>
      </c>
      <c r="D1302" s="5">
        <v>42962.461805555555</v>
      </c>
      <c r="E1302" s="4" t="s">
        <v>2221</v>
      </c>
      <c r="F1302" s="4" t="s">
        <v>2222</v>
      </c>
      <c r="G1302" s="4" t="s">
        <v>2014</v>
      </c>
      <c r="H1302" s="4" t="s">
        <v>1030</v>
      </c>
      <c r="I1302" s="4" t="s">
        <v>2091</v>
      </c>
      <c r="J1302" s="4" t="s">
        <v>2090</v>
      </c>
      <c r="K1302" s="5">
        <v>32565</v>
      </c>
      <c r="L1302" s="4" t="s">
        <v>4185</v>
      </c>
      <c r="M1302" s="4" t="s">
        <v>9</v>
      </c>
      <c r="N1302" s="5">
        <v>42614</v>
      </c>
      <c r="O1302" s="5" t="s">
        <v>2224</v>
      </c>
      <c r="P1302" s="4" t="s">
        <v>2224</v>
      </c>
      <c r="Q1302" s="4" t="s">
        <v>2552</v>
      </c>
      <c r="R1302" s="4" t="s">
        <v>2226</v>
      </c>
      <c r="S1302" s="4" t="s">
        <v>2227</v>
      </c>
      <c r="T1302" s="4" t="s">
        <v>2228</v>
      </c>
      <c r="U1302" s="4" t="s">
        <v>2229</v>
      </c>
      <c r="V1302" s="4" t="s">
        <v>25</v>
      </c>
      <c r="W1302" s="4" t="s">
        <v>2278</v>
      </c>
      <c r="X1302" s="4" t="s">
        <v>2224</v>
      </c>
      <c r="Y1302" s="4" t="s">
        <v>2384</v>
      </c>
      <c r="Z1302" s="6">
        <v>10577.9308</v>
      </c>
      <c r="AA1302" s="6">
        <v>126935.17</v>
      </c>
      <c r="AB1302" s="4" t="s">
        <v>2232</v>
      </c>
      <c r="AC1302" s="7" t="s">
        <v>2244</v>
      </c>
    </row>
    <row r="1303" spans="1:29" ht="15" customHeight="1" collapsed="1" thickBot="1" x14ac:dyDescent="0.3">
      <c r="A1303" s="20" t="str">
        <f>CONCATENATE("801"," - ","MR", " ","Theo"," ", "Adams")</f>
        <v>801 - MR Theo Adams</v>
      </c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2"/>
    </row>
    <row r="1304" spans="1:29" ht="15" hidden="1" customHeight="1" outlineLevel="1" thickBot="1" x14ac:dyDescent="0.3">
      <c r="A1304" s="4" t="s">
        <v>4186</v>
      </c>
      <c r="B1304" s="4" t="s">
        <v>2135</v>
      </c>
      <c r="C1304" s="4" t="s">
        <v>2220</v>
      </c>
      <c r="D1304" s="5">
        <v>42955.427083333328</v>
      </c>
      <c r="E1304" s="4" t="s">
        <v>2221</v>
      </c>
      <c r="F1304" s="4" t="s">
        <v>2222</v>
      </c>
      <c r="G1304" s="4" t="s">
        <v>2014</v>
      </c>
      <c r="H1304" s="4" t="s">
        <v>819</v>
      </c>
      <c r="I1304" s="4" t="s">
        <v>2137</v>
      </c>
      <c r="J1304" s="4" t="s">
        <v>840</v>
      </c>
      <c r="K1304" s="5">
        <v>24646</v>
      </c>
      <c r="L1304" s="4" t="s">
        <v>4187</v>
      </c>
      <c r="M1304" s="4" t="s">
        <v>9</v>
      </c>
      <c r="N1304" s="5">
        <v>42675</v>
      </c>
      <c r="O1304" s="5">
        <v>42947</v>
      </c>
      <c r="P1304" s="4" t="s">
        <v>2242</v>
      </c>
      <c r="Q1304" s="4" t="s">
        <v>4188</v>
      </c>
      <c r="R1304" s="4" t="s">
        <v>2224</v>
      </c>
      <c r="S1304" s="4" t="s">
        <v>2227</v>
      </c>
      <c r="T1304" s="4" t="s">
        <v>2228</v>
      </c>
      <c r="U1304" s="4" t="s">
        <v>2243</v>
      </c>
      <c r="V1304" s="4" t="s">
        <v>2136</v>
      </c>
      <c r="W1304" s="4" t="s">
        <v>2224</v>
      </c>
      <c r="X1304" s="4" t="s">
        <v>2224</v>
      </c>
      <c r="Y1304" s="4" t="s">
        <v>2224</v>
      </c>
      <c r="Z1304" s="6" t="s">
        <v>2224</v>
      </c>
      <c r="AA1304" s="6" t="s">
        <v>2224</v>
      </c>
      <c r="AB1304" s="4" t="s">
        <v>2224</v>
      </c>
      <c r="AC1304" s="7" t="s">
        <v>4189</v>
      </c>
    </row>
    <row r="1305" spans="1:29" ht="15" customHeight="1" collapsed="1" thickBot="1" x14ac:dyDescent="0.3">
      <c r="A1305" s="20" t="str">
        <f>CONCATENATE("808"," - ","MS", " ","Atlegang"," ", "Mphane")</f>
        <v>808 - MS Atlegang Mphane</v>
      </c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2"/>
    </row>
    <row r="1306" spans="1:29" ht="15" hidden="1" customHeight="1" outlineLevel="1" thickBot="1" x14ac:dyDescent="0.3">
      <c r="A1306" s="4" t="s">
        <v>4190</v>
      </c>
      <c r="B1306" s="4" t="s">
        <v>750</v>
      </c>
      <c r="C1306" s="4" t="s">
        <v>2220</v>
      </c>
      <c r="D1306" s="5">
        <v>42962.461805555555</v>
      </c>
      <c r="E1306" s="4" t="s">
        <v>2221</v>
      </c>
      <c r="F1306" s="4" t="s">
        <v>2222</v>
      </c>
      <c r="G1306" s="4" t="s">
        <v>813</v>
      </c>
      <c r="H1306" s="4" t="s">
        <v>2094</v>
      </c>
      <c r="I1306" s="4" t="s">
        <v>2093</v>
      </c>
      <c r="J1306" s="4" t="s">
        <v>2092</v>
      </c>
      <c r="K1306" s="5">
        <v>34390</v>
      </c>
      <c r="L1306" s="4" t="s">
        <v>4191</v>
      </c>
      <c r="M1306" s="4" t="s">
        <v>9</v>
      </c>
      <c r="N1306" s="5">
        <v>42614</v>
      </c>
      <c r="O1306" s="5" t="s">
        <v>2224</v>
      </c>
      <c r="P1306" s="4" t="s">
        <v>2224</v>
      </c>
      <c r="Q1306" s="4" t="s">
        <v>4192</v>
      </c>
      <c r="R1306" s="4" t="s">
        <v>2226</v>
      </c>
      <c r="S1306" s="4" t="s">
        <v>2227</v>
      </c>
      <c r="T1306" s="4" t="s">
        <v>2228</v>
      </c>
      <c r="U1306" s="4" t="s">
        <v>2229</v>
      </c>
      <c r="V1306" s="4" t="s">
        <v>25</v>
      </c>
      <c r="W1306" s="4" t="s">
        <v>2278</v>
      </c>
      <c r="X1306" s="4" t="s">
        <v>2224</v>
      </c>
      <c r="Y1306" s="4" t="s">
        <v>2384</v>
      </c>
      <c r="Z1306" s="6">
        <v>10577.93</v>
      </c>
      <c r="AA1306" s="6">
        <v>126935.16</v>
      </c>
      <c r="AB1306" s="4" t="s">
        <v>2232</v>
      </c>
      <c r="AC1306" s="7" t="s">
        <v>2244</v>
      </c>
    </row>
    <row r="1307" spans="1:29" ht="15" customHeight="1" collapsed="1" thickBot="1" x14ac:dyDescent="0.3">
      <c r="A1307" s="20" t="str">
        <f>CONCATENATE("809"," - ","MS", " ","Thandi"," ", "Mahlangu")</f>
        <v>809 - MS Thandi Mahlangu</v>
      </c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2"/>
    </row>
    <row r="1308" spans="1:29" ht="15" hidden="1" customHeight="1" outlineLevel="1" thickBot="1" x14ac:dyDescent="0.3">
      <c r="A1308" s="4" t="s">
        <v>4193</v>
      </c>
      <c r="B1308" s="4" t="s">
        <v>716</v>
      </c>
      <c r="C1308" s="4" t="s">
        <v>2220</v>
      </c>
      <c r="D1308" s="5">
        <v>42962.461805555555</v>
      </c>
      <c r="E1308" s="4" t="s">
        <v>2221</v>
      </c>
      <c r="F1308" s="4" t="s">
        <v>2222</v>
      </c>
      <c r="G1308" s="4" t="s">
        <v>813</v>
      </c>
      <c r="H1308" s="4" t="s">
        <v>2096</v>
      </c>
      <c r="I1308" s="4" t="s">
        <v>2095</v>
      </c>
      <c r="J1308" s="4" t="s">
        <v>1260</v>
      </c>
      <c r="K1308" s="5">
        <v>34898</v>
      </c>
      <c r="L1308" s="4" t="s">
        <v>4194</v>
      </c>
      <c r="M1308" s="4" t="s">
        <v>9</v>
      </c>
      <c r="N1308" s="5">
        <v>42614</v>
      </c>
      <c r="O1308" s="5" t="s">
        <v>2224</v>
      </c>
      <c r="P1308" s="4" t="s">
        <v>2224</v>
      </c>
      <c r="Q1308" s="4" t="s">
        <v>4195</v>
      </c>
      <c r="R1308" s="4" t="s">
        <v>2226</v>
      </c>
      <c r="S1308" s="4" t="s">
        <v>2227</v>
      </c>
      <c r="T1308" s="4" t="s">
        <v>2228</v>
      </c>
      <c r="U1308" s="4" t="s">
        <v>2229</v>
      </c>
      <c r="V1308" s="4" t="s">
        <v>25</v>
      </c>
      <c r="W1308" s="4" t="s">
        <v>2278</v>
      </c>
      <c r="X1308" s="4" t="s">
        <v>2224</v>
      </c>
      <c r="Y1308" s="4" t="s">
        <v>2384</v>
      </c>
      <c r="Z1308" s="6">
        <v>10577.9308</v>
      </c>
      <c r="AA1308" s="6">
        <v>126935.17</v>
      </c>
      <c r="AB1308" s="4" t="s">
        <v>2232</v>
      </c>
      <c r="AC1308" s="7" t="s">
        <v>2244</v>
      </c>
    </row>
    <row r="1309" spans="1:29" ht="15" customHeight="1" collapsed="1" thickBot="1" x14ac:dyDescent="0.3">
      <c r="A1309" s="20" t="str">
        <f>CONCATENATE("81"," - ","MISS", " ","Lee-Ane"," ", "Bunding")</f>
        <v>81 - MISS Lee-Ane Bunding</v>
      </c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2"/>
    </row>
    <row r="1310" spans="1:29" ht="15" hidden="1" customHeight="1" outlineLevel="1" thickBot="1" x14ac:dyDescent="0.3">
      <c r="A1310" s="4" t="s">
        <v>4196</v>
      </c>
      <c r="B1310" s="4" t="s">
        <v>372</v>
      </c>
      <c r="C1310" s="4" t="s">
        <v>2220</v>
      </c>
      <c r="D1310" s="5">
        <v>42962.537499999999</v>
      </c>
      <c r="E1310" s="4" t="s">
        <v>2221</v>
      </c>
      <c r="F1310" s="4" t="s">
        <v>2222</v>
      </c>
      <c r="G1310" s="4" t="s">
        <v>2234</v>
      </c>
      <c r="H1310" s="4" t="s">
        <v>826</v>
      </c>
      <c r="I1310" s="4" t="s">
        <v>1476</v>
      </c>
      <c r="J1310" s="4" t="s">
        <v>1475</v>
      </c>
      <c r="K1310" s="5">
        <v>30690</v>
      </c>
      <c r="L1310" s="4" t="s">
        <v>4197</v>
      </c>
      <c r="M1310" s="4" t="s">
        <v>9</v>
      </c>
      <c r="N1310" s="5">
        <v>41373</v>
      </c>
      <c r="O1310" s="5" t="s">
        <v>2224</v>
      </c>
      <c r="P1310" s="4" t="s">
        <v>2224</v>
      </c>
      <c r="Q1310" s="4" t="s">
        <v>4198</v>
      </c>
      <c r="R1310" s="4" t="s">
        <v>2226</v>
      </c>
      <c r="S1310" s="4" t="s">
        <v>2227</v>
      </c>
      <c r="T1310" s="4" t="s">
        <v>2228</v>
      </c>
      <c r="U1310" s="4" t="s">
        <v>2237</v>
      </c>
      <c r="V1310" s="4" t="s">
        <v>8</v>
      </c>
      <c r="W1310" s="4" t="s">
        <v>2278</v>
      </c>
      <c r="X1310" s="4" t="s">
        <v>2224</v>
      </c>
      <c r="Y1310" s="4" t="s">
        <v>2239</v>
      </c>
      <c r="Z1310" s="6">
        <v>16692.34</v>
      </c>
      <c r="AA1310" s="6">
        <v>200308.08</v>
      </c>
      <c r="AB1310" s="4" t="s">
        <v>2232</v>
      </c>
      <c r="AC1310" s="7" t="s">
        <v>2224</v>
      </c>
    </row>
    <row r="1311" spans="1:29" ht="15" customHeight="1" collapsed="1" thickBot="1" x14ac:dyDescent="0.3">
      <c r="A1311" s="20" t="str">
        <f>CONCATENATE("810"," - ","MR", " ","Mongwabone"," ", "Phutiyagae")</f>
        <v>810 - MR Mongwabone Phutiyagae</v>
      </c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2"/>
    </row>
    <row r="1312" spans="1:29" ht="15" hidden="1" customHeight="1" outlineLevel="1" thickBot="1" x14ac:dyDescent="0.3">
      <c r="A1312" s="4" t="s">
        <v>4199</v>
      </c>
      <c r="B1312" s="4" t="s">
        <v>714</v>
      </c>
      <c r="C1312" s="4" t="s">
        <v>2220</v>
      </c>
      <c r="D1312" s="5">
        <v>42962.461805555555</v>
      </c>
      <c r="E1312" s="4" t="s">
        <v>2221</v>
      </c>
      <c r="F1312" s="4" t="s">
        <v>2222</v>
      </c>
      <c r="G1312" s="4" t="s">
        <v>2014</v>
      </c>
      <c r="H1312" s="4" t="s">
        <v>1408</v>
      </c>
      <c r="I1312" s="4" t="s">
        <v>2089</v>
      </c>
      <c r="J1312" s="4" t="s">
        <v>2088</v>
      </c>
      <c r="K1312" s="5">
        <v>31271</v>
      </c>
      <c r="L1312" s="4" t="s">
        <v>4200</v>
      </c>
      <c r="M1312" s="4" t="s">
        <v>9</v>
      </c>
      <c r="N1312" s="5">
        <v>42614</v>
      </c>
      <c r="O1312" s="5" t="s">
        <v>2224</v>
      </c>
      <c r="P1312" s="4" t="s">
        <v>2224</v>
      </c>
      <c r="Q1312" s="4" t="s">
        <v>4201</v>
      </c>
      <c r="R1312" s="4" t="s">
        <v>2226</v>
      </c>
      <c r="S1312" s="4" t="s">
        <v>2227</v>
      </c>
      <c r="T1312" s="4" t="s">
        <v>2228</v>
      </c>
      <c r="U1312" s="4" t="s">
        <v>2229</v>
      </c>
      <c r="V1312" s="4" t="s">
        <v>25</v>
      </c>
      <c r="W1312" s="4" t="s">
        <v>2278</v>
      </c>
      <c r="X1312" s="4" t="s">
        <v>2224</v>
      </c>
      <c r="Y1312" s="4" t="s">
        <v>2384</v>
      </c>
      <c r="Z1312" s="6">
        <v>10577.9308</v>
      </c>
      <c r="AA1312" s="6">
        <v>126935.17</v>
      </c>
      <c r="AB1312" s="4" t="s">
        <v>2232</v>
      </c>
      <c r="AC1312" s="7" t="s">
        <v>2244</v>
      </c>
    </row>
    <row r="1313" spans="1:29" ht="15" customHeight="1" collapsed="1" thickBot="1" x14ac:dyDescent="0.3">
      <c r="A1313" s="20" t="str">
        <f>CONCATENATE("811"," - ","MS", " ","Adrienne-Leigh"," ", "Smith")</f>
        <v>811 - MS Adrienne-Leigh Smith</v>
      </c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2"/>
    </row>
    <row r="1314" spans="1:29" ht="15" hidden="1" customHeight="1" outlineLevel="1" thickBot="1" x14ac:dyDescent="0.3">
      <c r="A1314" s="4" t="s">
        <v>4202</v>
      </c>
      <c r="B1314" s="4" t="s">
        <v>720</v>
      </c>
      <c r="C1314" s="4" t="s">
        <v>2220</v>
      </c>
      <c r="D1314" s="5">
        <v>42962.549999999996</v>
      </c>
      <c r="E1314" s="4" t="s">
        <v>2221</v>
      </c>
      <c r="F1314" s="4" t="s">
        <v>2222</v>
      </c>
      <c r="G1314" s="4" t="s">
        <v>813</v>
      </c>
      <c r="H1314" s="4" t="s">
        <v>742</v>
      </c>
      <c r="I1314" s="4" t="s">
        <v>2102</v>
      </c>
      <c r="J1314" s="4" t="s">
        <v>1161</v>
      </c>
      <c r="K1314" s="5">
        <v>34831</v>
      </c>
      <c r="L1314" s="4" t="s">
        <v>4203</v>
      </c>
      <c r="M1314" s="4" t="s">
        <v>9</v>
      </c>
      <c r="N1314" s="5">
        <v>42607</v>
      </c>
      <c r="O1314" s="5" t="s">
        <v>2224</v>
      </c>
      <c r="P1314" s="4" t="s">
        <v>2224</v>
      </c>
      <c r="Q1314" s="4" t="s">
        <v>4204</v>
      </c>
      <c r="R1314" s="4" t="s">
        <v>2226</v>
      </c>
      <c r="S1314" s="4" t="s">
        <v>2227</v>
      </c>
      <c r="T1314" s="4" t="s">
        <v>2228</v>
      </c>
      <c r="U1314" s="4" t="s">
        <v>2237</v>
      </c>
      <c r="V1314" s="4" t="s">
        <v>8</v>
      </c>
      <c r="W1314" s="4" t="s">
        <v>2278</v>
      </c>
      <c r="X1314" s="4" t="s">
        <v>2224</v>
      </c>
      <c r="Y1314" s="4" t="s">
        <v>2239</v>
      </c>
      <c r="Z1314" s="6">
        <v>16081.7</v>
      </c>
      <c r="AA1314" s="6">
        <v>192980.4</v>
      </c>
      <c r="AB1314" s="4" t="s">
        <v>2232</v>
      </c>
      <c r="AC1314" s="7" t="s">
        <v>2244</v>
      </c>
    </row>
    <row r="1315" spans="1:29" ht="15" customHeight="1" collapsed="1" thickBot="1" x14ac:dyDescent="0.3">
      <c r="A1315" s="20" t="str">
        <f>CONCATENATE("812"," - ","MS", " ","Jamie"," ", "Lamalettie")</f>
        <v>812 - MS Jamie Lamalettie</v>
      </c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2"/>
    </row>
    <row r="1316" spans="1:29" ht="15" hidden="1" customHeight="1" outlineLevel="1" thickBot="1" x14ac:dyDescent="0.3">
      <c r="A1316" s="4" t="s">
        <v>4205</v>
      </c>
      <c r="B1316" s="4" t="s">
        <v>719</v>
      </c>
      <c r="C1316" s="4" t="s">
        <v>2220</v>
      </c>
      <c r="D1316" s="5">
        <v>42962.549999999996</v>
      </c>
      <c r="E1316" s="4" t="s">
        <v>2221</v>
      </c>
      <c r="F1316" s="4" t="s">
        <v>2222</v>
      </c>
      <c r="G1316" s="4" t="s">
        <v>813</v>
      </c>
      <c r="H1316" s="4" t="s">
        <v>1761</v>
      </c>
      <c r="I1316" s="4" t="s">
        <v>2101</v>
      </c>
      <c r="J1316" s="4" t="s">
        <v>2100</v>
      </c>
      <c r="K1316" s="5">
        <v>33501</v>
      </c>
      <c r="L1316" s="4" t="s">
        <v>4206</v>
      </c>
      <c r="M1316" s="4" t="s">
        <v>9</v>
      </c>
      <c r="N1316" s="5">
        <v>42607</v>
      </c>
      <c r="O1316" s="5" t="s">
        <v>2224</v>
      </c>
      <c r="P1316" s="4" t="s">
        <v>2224</v>
      </c>
      <c r="Q1316" s="4" t="s">
        <v>4207</v>
      </c>
      <c r="R1316" s="4" t="s">
        <v>2226</v>
      </c>
      <c r="S1316" s="4" t="s">
        <v>2227</v>
      </c>
      <c r="T1316" s="4" t="s">
        <v>2228</v>
      </c>
      <c r="U1316" s="4" t="s">
        <v>2237</v>
      </c>
      <c r="V1316" s="4" t="s">
        <v>8</v>
      </c>
      <c r="W1316" s="4" t="s">
        <v>2278</v>
      </c>
      <c r="X1316" s="4" t="s">
        <v>2224</v>
      </c>
      <c r="Y1316" s="4" t="s">
        <v>2239</v>
      </c>
      <c r="Z1316" s="6">
        <v>16081.7</v>
      </c>
      <c r="AA1316" s="6">
        <v>192980.4</v>
      </c>
      <c r="AB1316" s="4" t="s">
        <v>2232</v>
      </c>
      <c r="AC1316" s="7" t="s">
        <v>2244</v>
      </c>
    </row>
    <row r="1317" spans="1:29" ht="15" customHeight="1" collapsed="1" thickBot="1" x14ac:dyDescent="0.3">
      <c r="A1317" s="20" t="str">
        <f>CONCATENATE("813"," - ","MR", " ","Sherwyn"," ", "Hirjee")</f>
        <v>813 - MR Sherwyn Hirjee</v>
      </c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2"/>
    </row>
    <row r="1318" spans="1:29" ht="15" hidden="1" customHeight="1" outlineLevel="1" thickBot="1" x14ac:dyDescent="0.3">
      <c r="A1318" s="4" t="s">
        <v>4208</v>
      </c>
      <c r="B1318" s="4" t="s">
        <v>723</v>
      </c>
      <c r="C1318" s="4" t="s">
        <v>2220</v>
      </c>
      <c r="D1318" s="5">
        <v>42962.549999999996</v>
      </c>
      <c r="E1318" s="4" t="s">
        <v>2221</v>
      </c>
      <c r="F1318" s="4" t="s">
        <v>2222</v>
      </c>
      <c r="G1318" s="4" t="s">
        <v>2014</v>
      </c>
      <c r="H1318" s="4" t="s">
        <v>800</v>
      </c>
      <c r="I1318" s="4" t="s">
        <v>2108</v>
      </c>
      <c r="J1318" s="4" t="s">
        <v>2107</v>
      </c>
      <c r="K1318" s="5">
        <v>35172</v>
      </c>
      <c r="L1318" s="4" t="s">
        <v>4209</v>
      </c>
      <c r="M1318" s="4" t="s">
        <v>9</v>
      </c>
      <c r="N1318" s="5">
        <v>42607</v>
      </c>
      <c r="O1318" s="5" t="s">
        <v>2224</v>
      </c>
      <c r="P1318" s="4" t="s">
        <v>2224</v>
      </c>
      <c r="Q1318" s="4" t="s">
        <v>4210</v>
      </c>
      <c r="R1318" s="4" t="s">
        <v>2226</v>
      </c>
      <c r="S1318" s="4" t="s">
        <v>2227</v>
      </c>
      <c r="T1318" s="4" t="s">
        <v>2228</v>
      </c>
      <c r="U1318" s="4" t="s">
        <v>2237</v>
      </c>
      <c r="V1318" s="4" t="s">
        <v>8</v>
      </c>
      <c r="W1318" s="4" t="s">
        <v>2278</v>
      </c>
      <c r="X1318" s="4" t="s">
        <v>2224</v>
      </c>
      <c r="Y1318" s="4" t="s">
        <v>2239</v>
      </c>
      <c r="Z1318" s="6">
        <v>16081.7</v>
      </c>
      <c r="AA1318" s="6">
        <v>192980.4</v>
      </c>
      <c r="AB1318" s="4" t="s">
        <v>2232</v>
      </c>
      <c r="AC1318" s="7" t="s">
        <v>2244</v>
      </c>
    </row>
    <row r="1319" spans="1:29" ht="15" customHeight="1" collapsed="1" thickBot="1" x14ac:dyDescent="0.3">
      <c r="A1319" s="20" t="str">
        <f>CONCATENATE("814"," - ","MS", " ","Mitesha"," ", "Naidu")</f>
        <v>814 - MS Mitesha Naidu</v>
      </c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2"/>
    </row>
    <row r="1320" spans="1:29" ht="15" hidden="1" customHeight="1" outlineLevel="1" thickBot="1" x14ac:dyDescent="0.3">
      <c r="A1320" s="4" t="s">
        <v>4211</v>
      </c>
      <c r="B1320" s="4" t="s">
        <v>722</v>
      </c>
      <c r="C1320" s="4" t="s">
        <v>2220</v>
      </c>
      <c r="D1320" s="5">
        <v>42962.549999999996</v>
      </c>
      <c r="E1320" s="4" t="s">
        <v>2221</v>
      </c>
      <c r="F1320" s="4" t="s">
        <v>2222</v>
      </c>
      <c r="G1320" s="4" t="s">
        <v>813</v>
      </c>
      <c r="H1320" s="4" t="s">
        <v>788</v>
      </c>
      <c r="I1320" s="4" t="s">
        <v>2106</v>
      </c>
      <c r="J1320" s="4" t="s">
        <v>2105</v>
      </c>
      <c r="K1320" s="5">
        <v>34717</v>
      </c>
      <c r="L1320" s="4" t="s">
        <v>4212</v>
      </c>
      <c r="M1320" s="4" t="s">
        <v>9</v>
      </c>
      <c r="N1320" s="5">
        <v>42607</v>
      </c>
      <c r="O1320" s="5" t="s">
        <v>2224</v>
      </c>
      <c r="P1320" s="4" t="s">
        <v>2224</v>
      </c>
      <c r="Q1320" s="4" t="s">
        <v>4213</v>
      </c>
      <c r="R1320" s="4" t="s">
        <v>2226</v>
      </c>
      <c r="S1320" s="4" t="s">
        <v>2227</v>
      </c>
      <c r="T1320" s="4" t="s">
        <v>2228</v>
      </c>
      <c r="U1320" s="4" t="s">
        <v>2237</v>
      </c>
      <c r="V1320" s="4" t="s">
        <v>8</v>
      </c>
      <c r="W1320" s="4" t="s">
        <v>2278</v>
      </c>
      <c r="X1320" s="4" t="s">
        <v>2224</v>
      </c>
      <c r="Y1320" s="4" t="s">
        <v>2239</v>
      </c>
      <c r="Z1320" s="6">
        <v>16081.7</v>
      </c>
      <c r="AA1320" s="6">
        <v>192980.4</v>
      </c>
      <c r="AB1320" s="4" t="s">
        <v>2232</v>
      </c>
      <c r="AC1320" s="7" t="s">
        <v>2244</v>
      </c>
    </row>
    <row r="1321" spans="1:29" ht="15" customHeight="1" collapsed="1" thickBot="1" x14ac:dyDescent="0.3">
      <c r="A1321" s="20" t="str">
        <f>CONCATENATE("815"," - ","MS", " ","Farnaaz"," ", "Essop")</f>
        <v>815 - MS Farnaaz Essop</v>
      </c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2"/>
    </row>
    <row r="1322" spans="1:29" ht="15" hidden="1" customHeight="1" outlineLevel="1" thickBot="1" x14ac:dyDescent="0.3">
      <c r="A1322" s="4" t="s">
        <v>4214</v>
      </c>
      <c r="B1322" s="4" t="s">
        <v>721</v>
      </c>
      <c r="C1322" s="4" t="s">
        <v>2220</v>
      </c>
      <c r="D1322" s="5">
        <v>42962.549999999996</v>
      </c>
      <c r="E1322" s="4" t="s">
        <v>2221</v>
      </c>
      <c r="F1322" s="4" t="s">
        <v>2222</v>
      </c>
      <c r="G1322" s="4" t="s">
        <v>813</v>
      </c>
      <c r="H1322" s="4" t="s">
        <v>841</v>
      </c>
      <c r="I1322" s="4" t="s">
        <v>2104</v>
      </c>
      <c r="J1322" s="4" t="s">
        <v>2103</v>
      </c>
      <c r="K1322" s="5">
        <v>32542</v>
      </c>
      <c r="L1322" s="4" t="s">
        <v>4215</v>
      </c>
      <c r="M1322" s="4" t="s">
        <v>9</v>
      </c>
      <c r="N1322" s="5">
        <v>42522</v>
      </c>
      <c r="O1322" s="5" t="s">
        <v>2224</v>
      </c>
      <c r="P1322" s="4" t="s">
        <v>2224</v>
      </c>
      <c r="Q1322" s="4" t="s">
        <v>4216</v>
      </c>
      <c r="R1322" s="4" t="s">
        <v>2226</v>
      </c>
      <c r="S1322" s="4" t="s">
        <v>2227</v>
      </c>
      <c r="T1322" s="4" t="s">
        <v>2228</v>
      </c>
      <c r="U1322" s="4" t="s">
        <v>2237</v>
      </c>
      <c r="V1322" s="4" t="s">
        <v>8</v>
      </c>
      <c r="W1322" s="4" t="s">
        <v>2278</v>
      </c>
      <c r="X1322" s="4" t="s">
        <v>2224</v>
      </c>
      <c r="Y1322" s="4" t="s">
        <v>2239</v>
      </c>
      <c r="Z1322" s="6">
        <v>16081.7</v>
      </c>
      <c r="AA1322" s="6">
        <v>192980.4</v>
      </c>
      <c r="AB1322" s="4" t="s">
        <v>2232</v>
      </c>
      <c r="AC1322" s="7" t="s">
        <v>2244</v>
      </c>
    </row>
    <row r="1323" spans="1:29" ht="15" customHeight="1" collapsed="1" thickBot="1" x14ac:dyDescent="0.3">
      <c r="A1323" s="20" t="str">
        <f>CONCATENATE("816"," - ","MS", " ","Nasreen"," ", "Mahommed")</f>
        <v>816 - MS Nasreen Mahommed</v>
      </c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2"/>
    </row>
    <row r="1324" spans="1:29" ht="15" hidden="1" customHeight="1" outlineLevel="1" thickBot="1" x14ac:dyDescent="0.3">
      <c r="A1324" s="4" t="s">
        <v>4217</v>
      </c>
      <c r="B1324" s="4" t="s">
        <v>718</v>
      </c>
      <c r="C1324" s="4" t="s">
        <v>2220</v>
      </c>
      <c r="D1324" s="5">
        <v>42962.549999999996</v>
      </c>
      <c r="E1324" s="4" t="s">
        <v>2221</v>
      </c>
      <c r="F1324" s="4" t="s">
        <v>2222</v>
      </c>
      <c r="G1324" s="4" t="s">
        <v>813</v>
      </c>
      <c r="H1324" s="4" t="s">
        <v>797</v>
      </c>
      <c r="I1324" s="4" t="s">
        <v>2099</v>
      </c>
      <c r="J1324" s="4" t="s">
        <v>2098</v>
      </c>
      <c r="K1324" s="5">
        <v>35144</v>
      </c>
      <c r="L1324" s="4" t="s">
        <v>4218</v>
      </c>
      <c r="M1324" s="4" t="s">
        <v>9</v>
      </c>
      <c r="N1324" s="5">
        <v>42607</v>
      </c>
      <c r="O1324" s="5" t="s">
        <v>2224</v>
      </c>
      <c r="P1324" s="4" t="s">
        <v>2224</v>
      </c>
      <c r="Q1324" s="4" t="s">
        <v>4219</v>
      </c>
      <c r="R1324" s="4" t="s">
        <v>2226</v>
      </c>
      <c r="S1324" s="4" t="s">
        <v>2227</v>
      </c>
      <c r="T1324" s="4" t="s">
        <v>2228</v>
      </c>
      <c r="U1324" s="4" t="s">
        <v>2237</v>
      </c>
      <c r="V1324" s="4" t="s">
        <v>8</v>
      </c>
      <c r="W1324" s="4" t="s">
        <v>2278</v>
      </c>
      <c r="X1324" s="4" t="s">
        <v>2224</v>
      </c>
      <c r="Y1324" s="4" t="s">
        <v>2239</v>
      </c>
      <c r="Z1324" s="6">
        <v>16081.7</v>
      </c>
      <c r="AA1324" s="6">
        <v>192980.4</v>
      </c>
      <c r="AB1324" s="4" t="s">
        <v>2232</v>
      </c>
      <c r="AC1324" s="7" t="s">
        <v>2244</v>
      </c>
    </row>
    <row r="1325" spans="1:29" ht="15" customHeight="1" collapsed="1" thickBot="1" x14ac:dyDescent="0.3">
      <c r="A1325" s="20" t="str">
        <f>CONCATENATE("817"," - ","", " ","Nokwanda"," ", "Mpanza")</f>
        <v>817 -  Nokwanda Mpanza</v>
      </c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2"/>
    </row>
    <row r="1326" spans="1:29" ht="15" hidden="1" customHeight="1" outlineLevel="1" thickBot="1" x14ac:dyDescent="0.3">
      <c r="A1326" s="4" t="s">
        <v>4220</v>
      </c>
      <c r="B1326" s="4" t="s">
        <v>725</v>
      </c>
      <c r="C1326" s="4" t="s">
        <v>2220</v>
      </c>
      <c r="D1326" s="5">
        <v>42962.549999999996</v>
      </c>
      <c r="E1326" s="4" t="s">
        <v>2221</v>
      </c>
      <c r="F1326" s="4" t="s">
        <v>2222</v>
      </c>
      <c r="G1326" s="4" t="s">
        <v>2224</v>
      </c>
      <c r="H1326" s="4" t="s">
        <v>797</v>
      </c>
      <c r="I1326" s="4" t="s">
        <v>2112</v>
      </c>
      <c r="J1326" s="4" t="s">
        <v>2111</v>
      </c>
      <c r="K1326" s="5">
        <v>35402</v>
      </c>
      <c r="L1326" s="4" t="s">
        <v>4221</v>
      </c>
      <c r="M1326" s="4" t="s">
        <v>9</v>
      </c>
      <c r="N1326" s="5">
        <v>42607</v>
      </c>
      <c r="O1326" s="5" t="s">
        <v>2224</v>
      </c>
      <c r="P1326" s="4" t="s">
        <v>2224</v>
      </c>
      <c r="Q1326" s="4" t="s">
        <v>4222</v>
      </c>
      <c r="R1326" s="4" t="s">
        <v>2226</v>
      </c>
      <c r="S1326" s="4" t="s">
        <v>2227</v>
      </c>
      <c r="T1326" s="4" t="s">
        <v>2228</v>
      </c>
      <c r="U1326" s="4" t="s">
        <v>2237</v>
      </c>
      <c r="V1326" s="4" t="s">
        <v>8</v>
      </c>
      <c r="W1326" s="4" t="s">
        <v>2278</v>
      </c>
      <c r="X1326" s="4" t="s">
        <v>2224</v>
      </c>
      <c r="Y1326" s="4" t="s">
        <v>2239</v>
      </c>
      <c r="Z1326" s="6">
        <v>16081.7</v>
      </c>
      <c r="AA1326" s="6">
        <v>192980.4</v>
      </c>
      <c r="AB1326" s="4" t="s">
        <v>2232</v>
      </c>
      <c r="AC1326" s="7" t="s">
        <v>2244</v>
      </c>
    </row>
    <row r="1327" spans="1:29" ht="15" customHeight="1" collapsed="1" thickBot="1" x14ac:dyDescent="0.3">
      <c r="A1327" s="20" t="str">
        <f>CONCATENATE("818"," - ","MS", " ","Sheetal"," ", "Hurri")</f>
        <v>818 - MS Sheetal Hurri</v>
      </c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2"/>
    </row>
    <row r="1328" spans="1:29" ht="15" hidden="1" customHeight="1" outlineLevel="1" thickBot="1" x14ac:dyDescent="0.3">
      <c r="A1328" s="4" t="s">
        <v>4223</v>
      </c>
      <c r="B1328" s="4" t="s">
        <v>724</v>
      </c>
      <c r="C1328" s="4" t="s">
        <v>2220</v>
      </c>
      <c r="D1328" s="5">
        <v>42962.549999999996</v>
      </c>
      <c r="E1328" s="4" t="s">
        <v>2221</v>
      </c>
      <c r="F1328" s="4" t="s">
        <v>2222</v>
      </c>
      <c r="G1328" s="4" t="s">
        <v>813</v>
      </c>
      <c r="H1328" s="4" t="s">
        <v>800</v>
      </c>
      <c r="I1328" s="4" t="s">
        <v>2110</v>
      </c>
      <c r="J1328" s="4" t="s">
        <v>2109</v>
      </c>
      <c r="K1328" s="5">
        <v>34537</v>
      </c>
      <c r="L1328" s="4" t="s">
        <v>4224</v>
      </c>
      <c r="M1328" s="4" t="s">
        <v>9</v>
      </c>
      <c r="N1328" s="5">
        <v>42607</v>
      </c>
      <c r="O1328" s="5" t="s">
        <v>2224</v>
      </c>
      <c r="P1328" s="4" t="s">
        <v>2224</v>
      </c>
      <c r="Q1328" s="4" t="s">
        <v>4225</v>
      </c>
      <c r="R1328" s="4" t="s">
        <v>2226</v>
      </c>
      <c r="S1328" s="4" t="s">
        <v>2227</v>
      </c>
      <c r="T1328" s="4" t="s">
        <v>2228</v>
      </c>
      <c r="U1328" s="4" t="s">
        <v>2237</v>
      </c>
      <c r="V1328" s="4" t="s">
        <v>8</v>
      </c>
      <c r="W1328" s="4" t="s">
        <v>2278</v>
      </c>
      <c r="X1328" s="4" t="s">
        <v>2224</v>
      </c>
      <c r="Y1328" s="4" t="s">
        <v>2239</v>
      </c>
      <c r="Z1328" s="6">
        <v>16081.7</v>
      </c>
      <c r="AA1328" s="6">
        <v>192980.4</v>
      </c>
      <c r="AB1328" s="4" t="s">
        <v>2232</v>
      </c>
      <c r="AC1328" s="7" t="s">
        <v>2244</v>
      </c>
    </row>
    <row r="1329" spans="1:29" ht="15" customHeight="1" collapsed="1" thickBot="1" x14ac:dyDescent="0.3">
      <c r="A1329" s="20" t="str">
        <f>CONCATENATE("819"," - ","MS", " ","Danielle"," ", "van Amsterdam")</f>
        <v>819 - MS Danielle van Amsterdam</v>
      </c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2"/>
    </row>
    <row r="1330" spans="1:29" ht="15" hidden="1" customHeight="1" outlineLevel="1" thickBot="1" x14ac:dyDescent="0.3">
      <c r="A1330" s="4" t="s">
        <v>4226</v>
      </c>
      <c r="B1330" s="4" t="s">
        <v>703</v>
      </c>
      <c r="C1330" s="4" t="s">
        <v>2220</v>
      </c>
      <c r="D1330" s="5">
        <v>42962.549999999996</v>
      </c>
      <c r="E1330" s="4" t="s">
        <v>2221</v>
      </c>
      <c r="F1330" s="4" t="s">
        <v>2222</v>
      </c>
      <c r="G1330" s="4" t="s">
        <v>813</v>
      </c>
      <c r="H1330" s="4" t="s">
        <v>2072</v>
      </c>
      <c r="I1330" s="4" t="s">
        <v>2071</v>
      </c>
      <c r="J1330" s="4" t="s">
        <v>2070</v>
      </c>
      <c r="K1330" s="5">
        <v>35552</v>
      </c>
      <c r="L1330" s="4" t="s">
        <v>4227</v>
      </c>
      <c r="M1330" s="4" t="s">
        <v>9</v>
      </c>
      <c r="N1330" s="5">
        <v>42552</v>
      </c>
      <c r="O1330" s="5" t="s">
        <v>2224</v>
      </c>
      <c r="P1330" s="4" t="s">
        <v>2224</v>
      </c>
      <c r="Q1330" s="4" t="s">
        <v>4228</v>
      </c>
      <c r="R1330" s="4" t="s">
        <v>2226</v>
      </c>
      <c r="S1330" s="4" t="s">
        <v>2227</v>
      </c>
      <c r="T1330" s="4" t="s">
        <v>2228</v>
      </c>
      <c r="U1330" s="4" t="s">
        <v>2237</v>
      </c>
      <c r="V1330" s="4" t="s">
        <v>8</v>
      </c>
      <c r="W1330" s="4" t="s">
        <v>2278</v>
      </c>
      <c r="X1330" s="4" t="s">
        <v>2224</v>
      </c>
      <c r="Y1330" s="4" t="s">
        <v>2239</v>
      </c>
      <c r="Z1330" s="6">
        <v>15883.0694</v>
      </c>
      <c r="AA1330" s="6">
        <v>190596.83</v>
      </c>
      <c r="AB1330" s="4" t="s">
        <v>2232</v>
      </c>
      <c r="AC1330" s="7" t="s">
        <v>2244</v>
      </c>
    </row>
    <row r="1331" spans="1:29" ht="15" customHeight="1" collapsed="1" thickBot="1" x14ac:dyDescent="0.3">
      <c r="A1331" s="20" t="str">
        <f>CONCATENATE("82"," - ","MR", " ","LUNGA"," ", "BUNYONYO")</f>
        <v>82 - MR LUNGA BUNYONYO</v>
      </c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2"/>
    </row>
    <row r="1332" spans="1:29" ht="15" hidden="1" customHeight="1" outlineLevel="1" thickBot="1" x14ac:dyDescent="0.3">
      <c r="A1332" s="4" t="s">
        <v>4229</v>
      </c>
      <c r="B1332" s="4" t="s">
        <v>148</v>
      </c>
      <c r="C1332" s="4" t="s">
        <v>2220</v>
      </c>
      <c r="D1332" s="5">
        <v>42962.461111111108</v>
      </c>
      <c r="E1332" s="4" t="s">
        <v>2221</v>
      </c>
      <c r="F1332" s="4" t="s">
        <v>2222</v>
      </c>
      <c r="G1332" s="4" t="s">
        <v>2014</v>
      </c>
      <c r="H1332" s="4" t="s">
        <v>826</v>
      </c>
      <c r="I1332" s="4" t="s">
        <v>1052</v>
      </c>
      <c r="J1332" s="4" t="s">
        <v>1051</v>
      </c>
      <c r="K1332" s="5">
        <v>30310</v>
      </c>
      <c r="L1332" s="4" t="s">
        <v>4230</v>
      </c>
      <c r="M1332" s="4" t="s">
        <v>9</v>
      </c>
      <c r="N1332" s="5">
        <v>39387</v>
      </c>
      <c r="O1332" s="5" t="s">
        <v>2224</v>
      </c>
      <c r="P1332" s="4" t="s">
        <v>2224</v>
      </c>
      <c r="Q1332" s="4" t="s">
        <v>4231</v>
      </c>
      <c r="R1332" s="4" t="s">
        <v>2226</v>
      </c>
      <c r="S1332" s="4" t="s">
        <v>2227</v>
      </c>
      <c r="T1332" s="4" t="s">
        <v>2228</v>
      </c>
      <c r="U1332" s="4" t="s">
        <v>2229</v>
      </c>
      <c r="V1332" s="4" t="s">
        <v>25</v>
      </c>
      <c r="W1332" s="4" t="s">
        <v>2278</v>
      </c>
      <c r="X1332" s="4" t="s">
        <v>2224</v>
      </c>
      <c r="Y1332" s="4" t="s">
        <v>2380</v>
      </c>
      <c r="Z1332" s="6">
        <v>17112.251499999998</v>
      </c>
      <c r="AA1332" s="6">
        <v>205347.02</v>
      </c>
      <c r="AB1332" s="4" t="s">
        <v>2232</v>
      </c>
      <c r="AC1332" s="7" t="s">
        <v>2224</v>
      </c>
    </row>
    <row r="1333" spans="1:29" ht="15" customHeight="1" collapsed="1" thickBot="1" x14ac:dyDescent="0.3">
      <c r="A1333" s="20" t="str">
        <f>CONCATENATE("820"," - ","MR", " ","Phankamisa"," ", "Mandindi")</f>
        <v>820 - MR Phankamisa Mandindi</v>
      </c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2"/>
    </row>
    <row r="1334" spans="1:29" ht="15" hidden="1" customHeight="1" outlineLevel="1" thickBot="1" x14ac:dyDescent="0.3">
      <c r="A1334" s="4" t="s">
        <v>4232</v>
      </c>
      <c r="B1334" s="4" t="s">
        <v>704</v>
      </c>
      <c r="C1334" s="4" t="s">
        <v>2220</v>
      </c>
      <c r="D1334" s="5">
        <v>42962.549999999996</v>
      </c>
      <c r="E1334" s="4" t="s">
        <v>2221</v>
      </c>
      <c r="F1334" s="4" t="s">
        <v>2222</v>
      </c>
      <c r="G1334" s="4" t="s">
        <v>2014</v>
      </c>
      <c r="H1334" s="4" t="s">
        <v>2075</v>
      </c>
      <c r="I1334" s="4" t="s">
        <v>2074</v>
      </c>
      <c r="J1334" s="4" t="s">
        <v>2073</v>
      </c>
      <c r="K1334" s="5">
        <v>34256</v>
      </c>
      <c r="L1334" s="4" t="s">
        <v>4233</v>
      </c>
      <c r="M1334" s="4" t="s">
        <v>9</v>
      </c>
      <c r="N1334" s="5">
        <v>42552</v>
      </c>
      <c r="O1334" s="5" t="s">
        <v>2224</v>
      </c>
      <c r="P1334" s="4" t="s">
        <v>2224</v>
      </c>
      <c r="Q1334" s="4" t="s">
        <v>4234</v>
      </c>
      <c r="R1334" s="4" t="s">
        <v>2226</v>
      </c>
      <c r="S1334" s="4" t="s">
        <v>2227</v>
      </c>
      <c r="T1334" s="4" t="s">
        <v>2228</v>
      </c>
      <c r="U1334" s="4" t="s">
        <v>2237</v>
      </c>
      <c r="V1334" s="4" t="s">
        <v>8</v>
      </c>
      <c r="W1334" s="4" t="s">
        <v>2278</v>
      </c>
      <c r="X1334" s="4" t="s">
        <v>2224</v>
      </c>
      <c r="Y1334" s="4" t="s">
        <v>2239</v>
      </c>
      <c r="Z1334" s="6">
        <v>16081.7</v>
      </c>
      <c r="AA1334" s="6">
        <v>192980.4</v>
      </c>
      <c r="AB1334" s="4" t="s">
        <v>2232</v>
      </c>
      <c r="AC1334" s="7" t="s">
        <v>2244</v>
      </c>
    </row>
    <row r="1335" spans="1:29" ht="15" customHeight="1" collapsed="1" thickBot="1" x14ac:dyDescent="0.3">
      <c r="A1335" s="20" t="str">
        <f>CONCATENATE("821"," - ","MS", " ","Lerato"," ", "Malaza")</f>
        <v>821 - MS Lerato Malaza</v>
      </c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2"/>
    </row>
    <row r="1336" spans="1:29" ht="15" hidden="1" customHeight="1" outlineLevel="1" thickBot="1" x14ac:dyDescent="0.3">
      <c r="A1336" s="4" t="s">
        <v>4235</v>
      </c>
      <c r="B1336" s="4" t="s">
        <v>705</v>
      </c>
      <c r="C1336" s="4" t="s">
        <v>2220</v>
      </c>
      <c r="D1336" s="5">
        <v>42962.549999999996</v>
      </c>
      <c r="E1336" s="4" t="s">
        <v>2221</v>
      </c>
      <c r="F1336" s="4" t="s">
        <v>2222</v>
      </c>
      <c r="G1336" s="4" t="s">
        <v>813</v>
      </c>
      <c r="H1336" s="4" t="s">
        <v>2077</v>
      </c>
      <c r="I1336" s="4" t="s">
        <v>1428</v>
      </c>
      <c r="J1336" s="4" t="s">
        <v>2076</v>
      </c>
      <c r="K1336" s="5">
        <v>34710</v>
      </c>
      <c r="L1336" s="4" t="s">
        <v>4236</v>
      </c>
      <c r="M1336" s="4" t="s">
        <v>9</v>
      </c>
      <c r="N1336" s="5">
        <v>42552</v>
      </c>
      <c r="O1336" s="5" t="s">
        <v>2224</v>
      </c>
      <c r="P1336" s="4" t="s">
        <v>2224</v>
      </c>
      <c r="Q1336" s="4" t="s">
        <v>4237</v>
      </c>
      <c r="R1336" s="4" t="s">
        <v>2226</v>
      </c>
      <c r="S1336" s="4" t="s">
        <v>2227</v>
      </c>
      <c r="T1336" s="4" t="s">
        <v>2228</v>
      </c>
      <c r="U1336" s="4" t="s">
        <v>2237</v>
      </c>
      <c r="V1336" s="4" t="s">
        <v>8</v>
      </c>
      <c r="W1336" s="4" t="s">
        <v>2278</v>
      </c>
      <c r="X1336" s="4" t="s">
        <v>2224</v>
      </c>
      <c r="Y1336" s="4" t="s">
        <v>2239</v>
      </c>
      <c r="Z1336" s="6">
        <v>16081.7</v>
      </c>
      <c r="AA1336" s="6">
        <v>192980.4</v>
      </c>
      <c r="AB1336" s="4" t="s">
        <v>2232</v>
      </c>
      <c r="AC1336" s="7" t="s">
        <v>2244</v>
      </c>
    </row>
    <row r="1337" spans="1:29" ht="15" customHeight="1" collapsed="1" thickBot="1" x14ac:dyDescent="0.3">
      <c r="A1337" s="20" t="str">
        <f>CONCATENATE("822"," - ","MR", " ","Francois"," ", "Janse van Vuuren")</f>
        <v>822 - MR Francois Janse van Vuuren</v>
      </c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2"/>
    </row>
    <row r="1338" spans="1:29" ht="15" hidden="1" customHeight="1" outlineLevel="1" thickBot="1" x14ac:dyDescent="0.3">
      <c r="A1338" s="4" t="s">
        <v>4238</v>
      </c>
      <c r="B1338" s="4" t="s">
        <v>707</v>
      </c>
      <c r="C1338" s="4" t="s">
        <v>2220</v>
      </c>
      <c r="D1338" s="5">
        <v>42962.549999999996</v>
      </c>
      <c r="E1338" s="4" t="s">
        <v>2221</v>
      </c>
      <c r="F1338" s="4" t="s">
        <v>2222</v>
      </c>
      <c r="G1338" s="4" t="s">
        <v>2014</v>
      </c>
      <c r="H1338" s="4" t="s">
        <v>841</v>
      </c>
      <c r="I1338" s="4" t="s">
        <v>1412</v>
      </c>
      <c r="J1338" s="4" t="s">
        <v>2080</v>
      </c>
      <c r="K1338" s="5">
        <v>35191</v>
      </c>
      <c r="L1338" s="4" t="s">
        <v>4239</v>
      </c>
      <c r="M1338" s="4" t="s">
        <v>9</v>
      </c>
      <c r="N1338" s="5">
        <v>42552</v>
      </c>
      <c r="O1338" s="5" t="s">
        <v>2224</v>
      </c>
      <c r="P1338" s="4" t="s">
        <v>2224</v>
      </c>
      <c r="Q1338" s="4" t="s">
        <v>4240</v>
      </c>
      <c r="R1338" s="4" t="s">
        <v>2226</v>
      </c>
      <c r="S1338" s="4" t="s">
        <v>2227</v>
      </c>
      <c r="T1338" s="4" t="s">
        <v>2228</v>
      </c>
      <c r="U1338" s="4" t="s">
        <v>2237</v>
      </c>
      <c r="V1338" s="4" t="s">
        <v>8</v>
      </c>
      <c r="W1338" s="4" t="s">
        <v>2278</v>
      </c>
      <c r="X1338" s="4" t="s">
        <v>2224</v>
      </c>
      <c r="Y1338" s="4" t="s">
        <v>2239</v>
      </c>
      <c r="Z1338" s="6">
        <v>16081.7</v>
      </c>
      <c r="AA1338" s="6">
        <v>192980.4</v>
      </c>
      <c r="AB1338" s="4" t="s">
        <v>2232</v>
      </c>
      <c r="AC1338" s="7" t="s">
        <v>2244</v>
      </c>
    </row>
    <row r="1339" spans="1:29" ht="15" customHeight="1" collapsed="1" thickBot="1" x14ac:dyDescent="0.3">
      <c r="A1339" s="20" t="str">
        <f>CONCATENATE("824"," - ","MS", " ","Kayla"," ", "Meyer")</f>
        <v>824 - MS Kayla Meyer</v>
      </c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2"/>
    </row>
    <row r="1340" spans="1:29" ht="15" hidden="1" customHeight="1" outlineLevel="1" thickBot="1" x14ac:dyDescent="0.3">
      <c r="A1340" s="4" t="s">
        <v>4241</v>
      </c>
      <c r="B1340" s="4" t="s">
        <v>708</v>
      </c>
      <c r="C1340" s="4" t="s">
        <v>2220</v>
      </c>
      <c r="D1340" s="5">
        <v>42962.549999999996</v>
      </c>
      <c r="E1340" s="4" t="s">
        <v>2221</v>
      </c>
      <c r="F1340" s="4" t="s">
        <v>2222</v>
      </c>
      <c r="G1340" s="4" t="s">
        <v>813</v>
      </c>
      <c r="H1340" s="4" t="s">
        <v>1120</v>
      </c>
      <c r="I1340" s="4" t="s">
        <v>2081</v>
      </c>
      <c r="J1340" s="4" t="s">
        <v>1872</v>
      </c>
      <c r="K1340" s="5">
        <v>34678</v>
      </c>
      <c r="L1340" s="4" t="s">
        <v>4242</v>
      </c>
      <c r="M1340" s="4" t="s">
        <v>9</v>
      </c>
      <c r="N1340" s="5">
        <v>42552</v>
      </c>
      <c r="O1340" s="5" t="s">
        <v>2224</v>
      </c>
      <c r="P1340" s="4" t="s">
        <v>2224</v>
      </c>
      <c r="Q1340" s="4" t="s">
        <v>4243</v>
      </c>
      <c r="R1340" s="4" t="s">
        <v>2226</v>
      </c>
      <c r="S1340" s="4" t="s">
        <v>2227</v>
      </c>
      <c r="T1340" s="4" t="s">
        <v>2228</v>
      </c>
      <c r="U1340" s="4" t="s">
        <v>2237</v>
      </c>
      <c r="V1340" s="4" t="s">
        <v>8</v>
      </c>
      <c r="W1340" s="4" t="s">
        <v>2278</v>
      </c>
      <c r="X1340" s="4" t="s">
        <v>2224</v>
      </c>
      <c r="Y1340" s="4" t="s">
        <v>2239</v>
      </c>
      <c r="Z1340" s="6">
        <v>16081.7</v>
      </c>
      <c r="AA1340" s="6">
        <v>192980.4</v>
      </c>
      <c r="AB1340" s="4" t="s">
        <v>2232</v>
      </c>
      <c r="AC1340" s="7" t="s">
        <v>2244</v>
      </c>
    </row>
    <row r="1341" spans="1:29" ht="15" customHeight="1" collapsed="1" thickBot="1" x14ac:dyDescent="0.3">
      <c r="A1341" s="20" t="str">
        <f>CONCATENATE("825"," - ","MS", " ","Amukelani"," ", "Maswanganyi")</f>
        <v>825 - MS Amukelani Maswanganyi</v>
      </c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2"/>
    </row>
    <row r="1342" spans="1:29" ht="15" hidden="1" customHeight="1" outlineLevel="1" thickBot="1" x14ac:dyDescent="0.3">
      <c r="A1342" s="4" t="s">
        <v>4244</v>
      </c>
      <c r="B1342" s="4" t="s">
        <v>706</v>
      </c>
      <c r="C1342" s="4" t="s">
        <v>2220</v>
      </c>
      <c r="D1342" s="5">
        <v>42962.549999999996</v>
      </c>
      <c r="E1342" s="4" t="s">
        <v>2221</v>
      </c>
      <c r="F1342" s="4" t="s">
        <v>2222</v>
      </c>
      <c r="G1342" s="4" t="s">
        <v>813</v>
      </c>
      <c r="H1342" s="4" t="s">
        <v>2079</v>
      </c>
      <c r="I1342" s="4" t="s">
        <v>2078</v>
      </c>
      <c r="J1342" s="4" t="s">
        <v>1705</v>
      </c>
      <c r="K1342" s="5">
        <v>34828</v>
      </c>
      <c r="L1342" s="4" t="s">
        <v>4245</v>
      </c>
      <c r="M1342" s="4" t="s">
        <v>9</v>
      </c>
      <c r="N1342" s="5">
        <v>42552</v>
      </c>
      <c r="O1342" s="5" t="s">
        <v>2224</v>
      </c>
      <c r="P1342" s="4" t="s">
        <v>2224</v>
      </c>
      <c r="Q1342" s="4" t="s">
        <v>4246</v>
      </c>
      <c r="R1342" s="4" t="s">
        <v>2226</v>
      </c>
      <c r="S1342" s="4" t="s">
        <v>2227</v>
      </c>
      <c r="T1342" s="4" t="s">
        <v>2228</v>
      </c>
      <c r="U1342" s="4" t="s">
        <v>2237</v>
      </c>
      <c r="V1342" s="4" t="s">
        <v>8</v>
      </c>
      <c r="W1342" s="4" t="s">
        <v>2278</v>
      </c>
      <c r="X1342" s="4" t="s">
        <v>2224</v>
      </c>
      <c r="Y1342" s="4" t="s">
        <v>2239</v>
      </c>
      <c r="Z1342" s="6">
        <v>16081.7</v>
      </c>
      <c r="AA1342" s="6">
        <v>192980.4</v>
      </c>
      <c r="AB1342" s="4" t="s">
        <v>2232</v>
      </c>
      <c r="AC1342" s="7" t="s">
        <v>2244</v>
      </c>
    </row>
    <row r="1343" spans="1:29" ht="15" customHeight="1" collapsed="1" thickBot="1" x14ac:dyDescent="0.3">
      <c r="A1343" s="20" t="str">
        <f>CONCATENATE("826"," - ","MS", " ","Makhosazana"," ", "Mdhlalose")</f>
        <v>826 - MS Makhosazana Mdhlalose</v>
      </c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2"/>
    </row>
    <row r="1344" spans="1:29" ht="15" hidden="1" customHeight="1" outlineLevel="1" thickBot="1" x14ac:dyDescent="0.3">
      <c r="A1344" s="4" t="s">
        <v>4247</v>
      </c>
      <c r="B1344" s="4" t="s">
        <v>4248</v>
      </c>
      <c r="C1344" s="4" t="s">
        <v>2220</v>
      </c>
      <c r="D1344" s="5">
        <v>42948.695138888885</v>
      </c>
      <c r="E1344" s="4" t="s">
        <v>2221</v>
      </c>
      <c r="F1344" s="4" t="s">
        <v>2222</v>
      </c>
      <c r="G1344" s="4" t="s">
        <v>813</v>
      </c>
      <c r="H1344" s="4" t="s">
        <v>4249</v>
      </c>
      <c r="I1344" s="4" t="s">
        <v>1793</v>
      </c>
      <c r="J1344" s="4" t="s">
        <v>4250</v>
      </c>
      <c r="K1344" s="5">
        <v>31987</v>
      </c>
      <c r="L1344" s="4" t="s">
        <v>4251</v>
      </c>
      <c r="M1344" s="4" t="s">
        <v>9</v>
      </c>
      <c r="N1344" s="5">
        <v>42583</v>
      </c>
      <c r="O1344" s="5" t="s">
        <v>2224</v>
      </c>
      <c r="P1344" s="4" t="s">
        <v>2224</v>
      </c>
      <c r="Q1344" s="4" t="s">
        <v>4252</v>
      </c>
      <c r="R1344" s="4" t="s">
        <v>2226</v>
      </c>
      <c r="S1344" s="4" t="s">
        <v>2227</v>
      </c>
      <c r="T1344" s="4" t="s">
        <v>2228</v>
      </c>
      <c r="U1344" s="4" t="s">
        <v>2700</v>
      </c>
      <c r="V1344" s="4" t="s">
        <v>4253</v>
      </c>
      <c r="W1344" s="4" t="s">
        <v>2278</v>
      </c>
      <c r="X1344" s="4" t="s">
        <v>2224</v>
      </c>
      <c r="Y1344" s="4" t="s">
        <v>2224</v>
      </c>
      <c r="Z1344" s="6">
        <v>5500</v>
      </c>
      <c r="AA1344" s="6">
        <v>66000</v>
      </c>
      <c r="AB1344" s="4" t="s">
        <v>2224</v>
      </c>
      <c r="AC1344" s="7" t="s">
        <v>4254</v>
      </c>
    </row>
    <row r="1345" spans="1:29" ht="15" customHeight="1" collapsed="1" thickBot="1" x14ac:dyDescent="0.3">
      <c r="A1345" s="20" t="str">
        <f>CONCATENATE("827"," - ","MS", " ","Kamohelo"," ", "Ranyane")</f>
        <v>827 - MS Kamohelo Ranyane</v>
      </c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2"/>
    </row>
    <row r="1346" spans="1:29" ht="15" hidden="1" customHeight="1" outlineLevel="1" thickBot="1" x14ac:dyDescent="0.3">
      <c r="A1346" s="4" t="s">
        <v>4255</v>
      </c>
      <c r="B1346" s="4" t="s">
        <v>4256</v>
      </c>
      <c r="C1346" s="4" t="s">
        <v>2220</v>
      </c>
      <c r="D1346" s="5">
        <v>42948.695138888885</v>
      </c>
      <c r="E1346" s="4" t="s">
        <v>2221</v>
      </c>
      <c r="F1346" s="4" t="s">
        <v>2222</v>
      </c>
      <c r="G1346" s="4" t="s">
        <v>813</v>
      </c>
      <c r="H1346" s="4" t="s">
        <v>4257</v>
      </c>
      <c r="I1346" s="4" t="s">
        <v>1654</v>
      </c>
      <c r="J1346" s="4" t="s">
        <v>4258</v>
      </c>
      <c r="K1346" s="5">
        <v>33252</v>
      </c>
      <c r="L1346" s="4" t="s">
        <v>4259</v>
      </c>
      <c r="M1346" s="4" t="s">
        <v>9</v>
      </c>
      <c r="N1346" s="5">
        <v>42583</v>
      </c>
      <c r="O1346" s="5" t="s">
        <v>2224</v>
      </c>
      <c r="P1346" s="4" t="s">
        <v>2224</v>
      </c>
      <c r="Q1346" s="4" t="s">
        <v>4260</v>
      </c>
      <c r="R1346" s="4" t="s">
        <v>2226</v>
      </c>
      <c r="S1346" s="4" t="s">
        <v>2227</v>
      </c>
      <c r="T1346" s="4" t="s">
        <v>2228</v>
      </c>
      <c r="U1346" s="4" t="s">
        <v>2700</v>
      </c>
      <c r="V1346" s="4" t="s">
        <v>4253</v>
      </c>
      <c r="W1346" s="4" t="s">
        <v>2278</v>
      </c>
      <c r="X1346" s="4" t="s">
        <v>2224</v>
      </c>
      <c r="Y1346" s="4" t="s">
        <v>2224</v>
      </c>
      <c r="Z1346" s="6">
        <v>5500</v>
      </c>
      <c r="AA1346" s="6">
        <v>66000</v>
      </c>
      <c r="AB1346" s="4" t="s">
        <v>2224</v>
      </c>
      <c r="AC1346" s="7" t="s">
        <v>4254</v>
      </c>
    </row>
    <row r="1347" spans="1:29" ht="15" customHeight="1" collapsed="1" thickBot="1" x14ac:dyDescent="0.3">
      <c r="A1347" s="20" t="str">
        <f>CONCATENATE("828"," - ","MS", " ","Tanya"," ", "Smith")</f>
        <v>828 - MS Tanya Smith</v>
      </c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2"/>
    </row>
    <row r="1348" spans="1:29" ht="15" hidden="1" customHeight="1" outlineLevel="1" thickBot="1" x14ac:dyDescent="0.3">
      <c r="A1348" s="4" t="s">
        <v>4261</v>
      </c>
      <c r="B1348" s="4" t="s">
        <v>709</v>
      </c>
      <c r="C1348" s="4" t="s">
        <v>2220</v>
      </c>
      <c r="D1348" s="5">
        <v>42962.462500000001</v>
      </c>
      <c r="E1348" s="4" t="s">
        <v>2221</v>
      </c>
      <c r="F1348" s="4" t="s">
        <v>2222</v>
      </c>
      <c r="G1348" s="4" t="s">
        <v>813</v>
      </c>
      <c r="H1348" s="4" t="s">
        <v>819</v>
      </c>
      <c r="I1348" s="4" t="s">
        <v>2082</v>
      </c>
      <c r="J1348" s="4" t="s">
        <v>1161</v>
      </c>
      <c r="K1348" s="5">
        <v>29957</v>
      </c>
      <c r="L1348" s="4" t="s">
        <v>4262</v>
      </c>
      <c r="M1348" s="4" t="s">
        <v>9</v>
      </c>
      <c r="N1348" s="5">
        <v>42583</v>
      </c>
      <c r="O1348" s="5" t="s">
        <v>2224</v>
      </c>
      <c r="P1348" s="4" t="s">
        <v>2224</v>
      </c>
      <c r="Q1348" s="4" t="s">
        <v>2224</v>
      </c>
      <c r="R1348" s="4" t="s">
        <v>2226</v>
      </c>
      <c r="S1348" s="4" t="s">
        <v>2227</v>
      </c>
      <c r="T1348" s="4" t="s">
        <v>2228</v>
      </c>
      <c r="U1348" s="4" t="s">
        <v>2248</v>
      </c>
      <c r="V1348" s="4" t="s">
        <v>710</v>
      </c>
      <c r="W1348" s="4" t="s">
        <v>2297</v>
      </c>
      <c r="X1348" s="4" t="s">
        <v>2224</v>
      </c>
      <c r="Y1348" s="4" t="s">
        <v>2771</v>
      </c>
      <c r="Z1348" s="6">
        <v>105880</v>
      </c>
      <c r="AA1348" s="6">
        <v>1270560</v>
      </c>
      <c r="AB1348" s="4" t="s">
        <v>2232</v>
      </c>
      <c r="AC1348" s="7" t="s">
        <v>2244</v>
      </c>
    </row>
    <row r="1349" spans="1:29" ht="15" customHeight="1" collapsed="1" thickBot="1" x14ac:dyDescent="0.3">
      <c r="A1349" s="20" t="str">
        <f>CONCATENATE("829"," - ","MR", " ","Katlego"," ", "Mutloatse")</f>
        <v>829 - MR Katlego Mutloatse</v>
      </c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2"/>
    </row>
    <row r="1350" spans="1:29" ht="15" hidden="1" customHeight="1" outlineLevel="1" thickBot="1" x14ac:dyDescent="0.3">
      <c r="A1350" s="4" t="s">
        <v>4263</v>
      </c>
      <c r="B1350" s="4" t="s">
        <v>682</v>
      </c>
      <c r="C1350" s="4" t="s">
        <v>2220</v>
      </c>
      <c r="D1350" s="5">
        <v>42963.290972222218</v>
      </c>
      <c r="E1350" s="4" t="s">
        <v>2221</v>
      </c>
      <c r="F1350" s="4" t="s">
        <v>2222</v>
      </c>
      <c r="G1350" s="4" t="s">
        <v>2014</v>
      </c>
      <c r="H1350" s="4" t="s">
        <v>1790</v>
      </c>
      <c r="I1350" s="4" t="s">
        <v>1137</v>
      </c>
      <c r="J1350" s="4" t="s">
        <v>2036</v>
      </c>
      <c r="K1350" s="5">
        <v>32455</v>
      </c>
      <c r="L1350" s="4" t="s">
        <v>4264</v>
      </c>
      <c r="M1350" s="4" t="s">
        <v>9</v>
      </c>
      <c r="N1350" s="5">
        <v>42586</v>
      </c>
      <c r="O1350" s="5" t="s">
        <v>2224</v>
      </c>
      <c r="P1350" s="4" t="s">
        <v>2224</v>
      </c>
      <c r="Q1350" s="4" t="s">
        <v>4265</v>
      </c>
      <c r="R1350" s="4" t="s">
        <v>2226</v>
      </c>
      <c r="S1350" s="4" t="s">
        <v>2227</v>
      </c>
      <c r="T1350" s="4" t="s">
        <v>2228</v>
      </c>
      <c r="U1350" s="4" t="s">
        <v>2258</v>
      </c>
      <c r="V1350" s="4" t="s">
        <v>257</v>
      </c>
      <c r="W1350" s="4" t="s">
        <v>2230</v>
      </c>
      <c r="X1350" s="4" t="s">
        <v>2224</v>
      </c>
      <c r="Y1350" s="4" t="s">
        <v>2259</v>
      </c>
      <c r="Z1350" s="6">
        <v>61245.406799999997</v>
      </c>
      <c r="AA1350" s="6">
        <v>734944.88</v>
      </c>
      <c r="AB1350" s="4" t="s">
        <v>2232</v>
      </c>
      <c r="AC1350" s="7" t="s">
        <v>2244</v>
      </c>
    </row>
    <row r="1351" spans="1:29" ht="15" customHeight="1" collapsed="1" thickBot="1" x14ac:dyDescent="0.3">
      <c r="A1351" s="20" t="str">
        <f>CONCATENATE("83"," - ","MR", " ","Sboniso"," ", "Buthelezi")</f>
        <v>83 - MR Sboniso Buthelezi</v>
      </c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2"/>
    </row>
    <row r="1352" spans="1:29" ht="15" hidden="1" customHeight="1" outlineLevel="1" thickBot="1" x14ac:dyDescent="0.3">
      <c r="A1352" s="4" t="s">
        <v>4266</v>
      </c>
      <c r="B1352" s="4" t="s">
        <v>521</v>
      </c>
      <c r="C1352" s="4" t="s">
        <v>2220</v>
      </c>
      <c r="D1352" s="5">
        <v>42962.461805555555</v>
      </c>
      <c r="E1352" s="4" t="s">
        <v>2221</v>
      </c>
      <c r="F1352" s="4" t="s">
        <v>2222</v>
      </c>
      <c r="G1352" s="4" t="s">
        <v>2014</v>
      </c>
      <c r="H1352" s="4" t="s">
        <v>1773</v>
      </c>
      <c r="I1352" s="4" t="s">
        <v>1774</v>
      </c>
      <c r="J1352" s="4" t="s">
        <v>1772</v>
      </c>
      <c r="K1352" s="5">
        <v>33736</v>
      </c>
      <c r="L1352" s="4" t="s">
        <v>4267</v>
      </c>
      <c r="M1352" s="4" t="s">
        <v>9</v>
      </c>
      <c r="N1352" s="5">
        <v>42072</v>
      </c>
      <c r="O1352" s="5" t="s">
        <v>2224</v>
      </c>
      <c r="P1352" s="4" t="s">
        <v>2224</v>
      </c>
      <c r="Q1352" s="4" t="s">
        <v>4268</v>
      </c>
      <c r="R1352" s="4" t="s">
        <v>2226</v>
      </c>
      <c r="S1352" s="4" t="s">
        <v>2227</v>
      </c>
      <c r="T1352" s="4" t="s">
        <v>2228</v>
      </c>
      <c r="U1352" s="4" t="s">
        <v>2229</v>
      </c>
      <c r="V1352" s="4" t="s">
        <v>25</v>
      </c>
      <c r="W1352" s="4" t="s">
        <v>2278</v>
      </c>
      <c r="X1352" s="4" t="s">
        <v>2224</v>
      </c>
      <c r="Y1352" s="4" t="s">
        <v>2321</v>
      </c>
      <c r="Z1352" s="6">
        <v>10710.1538</v>
      </c>
      <c r="AA1352" s="6">
        <v>128521.85</v>
      </c>
      <c r="AB1352" s="4" t="s">
        <v>2232</v>
      </c>
      <c r="AC1352" s="7" t="s">
        <v>2224</v>
      </c>
    </row>
    <row r="1353" spans="1:29" ht="15" customHeight="1" collapsed="1" thickBot="1" x14ac:dyDescent="0.3">
      <c r="A1353" s="20" t="str">
        <f>CONCATENATE("830"," - ","MS", " ","Nandi"," ", "Mbele")</f>
        <v>830 - MS Nandi Mbele</v>
      </c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2"/>
    </row>
    <row r="1354" spans="1:29" ht="15" hidden="1" customHeight="1" outlineLevel="1" thickBot="1" x14ac:dyDescent="0.3">
      <c r="A1354" s="4" t="s">
        <v>4269</v>
      </c>
      <c r="B1354" s="4" t="s">
        <v>683</v>
      </c>
      <c r="C1354" s="4" t="s">
        <v>2220</v>
      </c>
      <c r="D1354" s="5">
        <v>42963.290972222218</v>
      </c>
      <c r="E1354" s="4" t="s">
        <v>2221</v>
      </c>
      <c r="F1354" s="4" t="s">
        <v>2222</v>
      </c>
      <c r="G1354" s="4" t="s">
        <v>813</v>
      </c>
      <c r="H1354" s="4" t="s">
        <v>797</v>
      </c>
      <c r="I1354" s="4" t="s">
        <v>2038</v>
      </c>
      <c r="J1354" s="4" t="s">
        <v>2037</v>
      </c>
      <c r="K1354" s="5">
        <v>31822</v>
      </c>
      <c r="L1354" s="4" t="s">
        <v>4270</v>
      </c>
      <c r="M1354" s="4" t="s">
        <v>9</v>
      </c>
      <c r="N1354" s="5">
        <v>42586</v>
      </c>
      <c r="O1354" s="5" t="s">
        <v>2224</v>
      </c>
      <c r="P1354" s="4" t="s">
        <v>2224</v>
      </c>
      <c r="Q1354" s="4" t="s">
        <v>4271</v>
      </c>
      <c r="R1354" s="4" t="s">
        <v>2226</v>
      </c>
      <c r="S1354" s="4" t="s">
        <v>2227</v>
      </c>
      <c r="T1354" s="4" t="s">
        <v>2228</v>
      </c>
      <c r="U1354" s="4" t="s">
        <v>2258</v>
      </c>
      <c r="V1354" s="4" t="s">
        <v>246</v>
      </c>
      <c r="W1354" s="4" t="s">
        <v>2249</v>
      </c>
      <c r="X1354" s="4" t="s">
        <v>2224</v>
      </c>
      <c r="Y1354" s="4" t="s">
        <v>2259</v>
      </c>
      <c r="Z1354" s="6">
        <v>68050.454400000002</v>
      </c>
      <c r="AA1354" s="6">
        <v>816605.45</v>
      </c>
      <c r="AB1354" s="4" t="s">
        <v>2232</v>
      </c>
      <c r="AC1354" s="7" t="s">
        <v>2244</v>
      </c>
    </row>
    <row r="1355" spans="1:29" ht="15" customHeight="1" collapsed="1" thickBot="1" x14ac:dyDescent="0.3">
      <c r="A1355" s="20" t="str">
        <f>CONCATENATE("84"," - ","MR", " ","Jordan"," ", "Butler")</f>
        <v>84 - MR Jordan Butler</v>
      </c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2"/>
    </row>
    <row r="1356" spans="1:29" ht="15" hidden="1" customHeight="1" outlineLevel="1" thickBot="1" x14ac:dyDescent="0.3">
      <c r="A1356" s="4" t="s">
        <v>4272</v>
      </c>
      <c r="B1356" s="4" t="s">
        <v>435</v>
      </c>
      <c r="C1356" s="4" t="s">
        <v>2220</v>
      </c>
      <c r="D1356" s="5">
        <v>42963.287499999999</v>
      </c>
      <c r="E1356" s="4" t="s">
        <v>2221</v>
      </c>
      <c r="F1356" s="4" t="s">
        <v>2222</v>
      </c>
      <c r="G1356" s="4" t="s">
        <v>2014</v>
      </c>
      <c r="H1356" s="4" t="s">
        <v>1600</v>
      </c>
      <c r="I1356" s="4" t="s">
        <v>1601</v>
      </c>
      <c r="J1356" s="4" t="s">
        <v>1599</v>
      </c>
      <c r="K1356" s="5">
        <v>30567</v>
      </c>
      <c r="L1356" s="4" t="s">
        <v>4273</v>
      </c>
      <c r="M1356" s="4" t="s">
        <v>9</v>
      </c>
      <c r="N1356" s="5">
        <v>41597</v>
      </c>
      <c r="O1356" s="5" t="s">
        <v>2224</v>
      </c>
      <c r="P1356" s="4" t="s">
        <v>2224</v>
      </c>
      <c r="Q1356" s="4" t="s">
        <v>4274</v>
      </c>
      <c r="R1356" s="4" t="s">
        <v>2226</v>
      </c>
      <c r="S1356" s="4" t="s">
        <v>2227</v>
      </c>
      <c r="T1356" s="4" t="s">
        <v>2228</v>
      </c>
      <c r="U1356" s="4" t="s">
        <v>2258</v>
      </c>
      <c r="V1356" s="4" t="s">
        <v>13</v>
      </c>
      <c r="W1356" s="4" t="s">
        <v>2249</v>
      </c>
      <c r="X1356" s="4" t="s">
        <v>2224</v>
      </c>
      <c r="Y1356" s="4" t="s">
        <v>2259</v>
      </c>
      <c r="Z1356" s="6">
        <v>105531.5736</v>
      </c>
      <c r="AA1356" s="6">
        <v>1266378.8799999999</v>
      </c>
      <c r="AB1356" s="4" t="s">
        <v>2232</v>
      </c>
      <c r="AC1356" s="7" t="s">
        <v>2224</v>
      </c>
    </row>
    <row r="1357" spans="1:29" ht="15" customHeight="1" collapsed="1" thickBot="1" x14ac:dyDescent="0.3">
      <c r="A1357" s="20" t="str">
        <f>CONCATENATE("86"," - ","MISS", " ","Angelique"," ", "Carlinsky")</f>
        <v>86 - MISS Angelique Carlinsky</v>
      </c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2"/>
    </row>
    <row r="1358" spans="1:29" ht="15" hidden="1" customHeight="1" outlineLevel="1" thickBot="1" x14ac:dyDescent="0.3">
      <c r="A1358" s="4" t="s">
        <v>4275</v>
      </c>
      <c r="B1358" s="4" t="s">
        <v>565</v>
      </c>
      <c r="C1358" s="4" t="s">
        <v>2220</v>
      </c>
      <c r="D1358" s="5">
        <v>42962.463194444441</v>
      </c>
      <c r="E1358" s="4" t="s">
        <v>2221</v>
      </c>
      <c r="F1358" s="4" t="s">
        <v>2222</v>
      </c>
      <c r="G1358" s="4" t="s">
        <v>2234</v>
      </c>
      <c r="H1358" s="4" t="s">
        <v>928</v>
      </c>
      <c r="I1358" s="4" t="s">
        <v>1850</v>
      </c>
      <c r="J1358" s="4" t="s">
        <v>1849</v>
      </c>
      <c r="K1358" s="5">
        <v>32769</v>
      </c>
      <c r="L1358" s="4" t="s">
        <v>4276</v>
      </c>
      <c r="M1358" s="4" t="s">
        <v>9</v>
      </c>
      <c r="N1358" s="5">
        <v>42128</v>
      </c>
      <c r="O1358" s="5" t="s">
        <v>2224</v>
      </c>
      <c r="P1358" s="4" t="s">
        <v>2224</v>
      </c>
      <c r="Q1358" s="4" t="s">
        <v>4277</v>
      </c>
      <c r="R1358" s="4" t="s">
        <v>2226</v>
      </c>
      <c r="S1358" s="4" t="s">
        <v>2227</v>
      </c>
      <c r="T1358" s="4" t="s">
        <v>2228</v>
      </c>
      <c r="U1358" s="4" t="s">
        <v>2229</v>
      </c>
      <c r="V1358" s="4" t="s">
        <v>122</v>
      </c>
      <c r="W1358" s="4" t="s">
        <v>2278</v>
      </c>
      <c r="X1358" s="4" t="s">
        <v>2224</v>
      </c>
      <c r="Y1358" s="4" t="s">
        <v>2250</v>
      </c>
      <c r="Z1358" s="6">
        <v>19058.400000000001</v>
      </c>
      <c r="AA1358" s="6">
        <v>228700.79999999999</v>
      </c>
      <c r="AB1358" s="4" t="s">
        <v>2232</v>
      </c>
      <c r="AC1358" s="7" t="s">
        <v>2224</v>
      </c>
    </row>
    <row r="1359" spans="1:29" ht="15" customHeight="1" collapsed="1" thickBot="1" x14ac:dyDescent="0.3">
      <c r="A1359" s="20" t="str">
        <f>CONCATENATE("863"," - ","MR", " ","Philippus"," ", "Minnaar")</f>
        <v>863 - MR Philippus Minnaar</v>
      </c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2"/>
    </row>
    <row r="1360" spans="1:29" ht="15" hidden="1" customHeight="1" outlineLevel="1" thickBot="1" x14ac:dyDescent="0.3">
      <c r="A1360" s="4" t="s">
        <v>4278</v>
      </c>
      <c r="B1360" s="4" t="s">
        <v>726</v>
      </c>
      <c r="C1360" s="4" t="s">
        <v>2220</v>
      </c>
      <c r="D1360" s="5">
        <v>42963.290972222218</v>
      </c>
      <c r="E1360" s="4" t="s">
        <v>2221</v>
      </c>
      <c r="F1360" s="4" t="s">
        <v>2222</v>
      </c>
      <c r="G1360" s="4" t="s">
        <v>2014</v>
      </c>
      <c r="H1360" s="4" t="s">
        <v>781</v>
      </c>
      <c r="I1360" s="4" t="s">
        <v>2114</v>
      </c>
      <c r="J1360" s="4" t="s">
        <v>2113</v>
      </c>
      <c r="K1360" s="5">
        <v>30070</v>
      </c>
      <c r="L1360" s="4" t="s">
        <v>4279</v>
      </c>
      <c r="M1360" s="4" t="s">
        <v>9</v>
      </c>
      <c r="N1360" s="5">
        <v>42644</v>
      </c>
      <c r="O1360" s="5" t="s">
        <v>2224</v>
      </c>
      <c r="P1360" s="4" t="s">
        <v>2224</v>
      </c>
      <c r="Q1360" s="4" t="s">
        <v>4280</v>
      </c>
      <c r="R1360" s="4" t="s">
        <v>2226</v>
      </c>
      <c r="S1360" s="4" t="s">
        <v>2227</v>
      </c>
      <c r="T1360" s="4" t="s">
        <v>2228</v>
      </c>
      <c r="U1360" s="4" t="s">
        <v>2258</v>
      </c>
      <c r="V1360" s="4" t="s">
        <v>246</v>
      </c>
      <c r="W1360" s="4" t="s">
        <v>2249</v>
      </c>
      <c r="X1360" s="4" t="s">
        <v>2224</v>
      </c>
      <c r="Y1360" s="4" t="s">
        <v>2259</v>
      </c>
      <c r="Z1360" s="6">
        <v>66716.135999999999</v>
      </c>
      <c r="AA1360" s="6">
        <v>800593.63</v>
      </c>
      <c r="AB1360" s="4" t="s">
        <v>2232</v>
      </c>
      <c r="AC1360" s="7" t="s">
        <v>2244</v>
      </c>
    </row>
    <row r="1361" spans="1:29" ht="15" customHeight="1" collapsed="1" thickBot="1" x14ac:dyDescent="0.3">
      <c r="A1361" s="20" t="str">
        <f>CONCATENATE("864"," - ","MR", " ","Jared"," ", "van der Merwe")</f>
        <v>864 - MR Jared van der Merwe</v>
      </c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2"/>
    </row>
    <row r="1362" spans="1:29" ht="15" hidden="1" customHeight="1" outlineLevel="1" thickBot="1" x14ac:dyDescent="0.3">
      <c r="A1362" s="4" t="s">
        <v>4281</v>
      </c>
      <c r="B1362" s="4" t="s">
        <v>727</v>
      </c>
      <c r="C1362" s="4" t="s">
        <v>2220</v>
      </c>
      <c r="D1362" s="5">
        <v>42963.290972222218</v>
      </c>
      <c r="E1362" s="4" t="s">
        <v>2221</v>
      </c>
      <c r="F1362" s="4" t="s">
        <v>2222</v>
      </c>
      <c r="G1362" s="4" t="s">
        <v>2014</v>
      </c>
      <c r="H1362" s="4" t="s">
        <v>888</v>
      </c>
      <c r="I1362" s="4" t="s">
        <v>2115</v>
      </c>
      <c r="J1362" s="4" t="s">
        <v>2085</v>
      </c>
      <c r="K1362" s="5">
        <v>30695</v>
      </c>
      <c r="L1362" s="4" t="s">
        <v>4282</v>
      </c>
      <c r="M1362" s="4" t="s">
        <v>9</v>
      </c>
      <c r="N1362" s="5">
        <v>42644</v>
      </c>
      <c r="O1362" s="5" t="s">
        <v>2224</v>
      </c>
      <c r="P1362" s="4" t="s">
        <v>2224</v>
      </c>
      <c r="Q1362" s="4" t="s">
        <v>4283</v>
      </c>
      <c r="R1362" s="4" t="s">
        <v>2226</v>
      </c>
      <c r="S1362" s="4" t="s">
        <v>2227</v>
      </c>
      <c r="T1362" s="4" t="s">
        <v>2228</v>
      </c>
      <c r="U1362" s="4" t="s">
        <v>2258</v>
      </c>
      <c r="V1362" s="4" t="s">
        <v>246</v>
      </c>
      <c r="W1362" s="4" t="s">
        <v>2249</v>
      </c>
      <c r="X1362" s="4" t="s">
        <v>2224</v>
      </c>
      <c r="Y1362" s="4" t="s">
        <v>2259</v>
      </c>
      <c r="Z1362" s="6">
        <v>66716.135999999999</v>
      </c>
      <c r="AA1362" s="6">
        <v>800593.63</v>
      </c>
      <c r="AB1362" s="4" t="s">
        <v>2232</v>
      </c>
      <c r="AC1362" s="7" t="s">
        <v>2244</v>
      </c>
    </row>
    <row r="1363" spans="1:29" ht="15" customHeight="1" collapsed="1" thickBot="1" x14ac:dyDescent="0.3">
      <c r="A1363" s="20" t="str">
        <f>CONCATENATE("865"," - ","MR", " ","Sabelo"," ", "Ndaba")</f>
        <v>865 - MR Sabelo Ndaba</v>
      </c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2"/>
    </row>
    <row r="1364" spans="1:29" ht="15" hidden="1" customHeight="1" outlineLevel="1" thickBot="1" x14ac:dyDescent="0.3">
      <c r="A1364" s="4" t="s">
        <v>4284</v>
      </c>
      <c r="B1364" s="4" t="s">
        <v>728</v>
      </c>
      <c r="C1364" s="4" t="s">
        <v>2220</v>
      </c>
      <c r="D1364" s="5">
        <v>42962.461805555555</v>
      </c>
      <c r="E1364" s="4" t="s">
        <v>2221</v>
      </c>
      <c r="F1364" s="4" t="s">
        <v>2222</v>
      </c>
      <c r="G1364" s="4" t="s">
        <v>2014</v>
      </c>
      <c r="H1364" s="4" t="s">
        <v>1773</v>
      </c>
      <c r="I1364" s="4" t="s">
        <v>2116</v>
      </c>
      <c r="J1364" s="4" t="s">
        <v>1698</v>
      </c>
      <c r="K1364" s="5">
        <v>29198</v>
      </c>
      <c r="L1364" s="4" t="s">
        <v>4285</v>
      </c>
      <c r="M1364" s="4" t="s">
        <v>9</v>
      </c>
      <c r="N1364" s="5">
        <v>42644</v>
      </c>
      <c r="O1364" s="5" t="s">
        <v>2224</v>
      </c>
      <c r="P1364" s="4" t="s">
        <v>2224</v>
      </c>
      <c r="Q1364" s="4" t="s">
        <v>4286</v>
      </c>
      <c r="R1364" s="4" t="s">
        <v>2226</v>
      </c>
      <c r="S1364" s="4" t="s">
        <v>2227</v>
      </c>
      <c r="T1364" s="4" t="s">
        <v>2228</v>
      </c>
      <c r="U1364" s="4" t="s">
        <v>2229</v>
      </c>
      <c r="V1364" s="4" t="s">
        <v>25</v>
      </c>
      <c r="W1364" s="4" t="s">
        <v>2278</v>
      </c>
      <c r="X1364" s="4" t="s">
        <v>2224</v>
      </c>
      <c r="Y1364" s="4" t="s">
        <v>2449</v>
      </c>
      <c r="Z1364" s="6">
        <v>9990.49</v>
      </c>
      <c r="AA1364" s="6">
        <v>119885.88</v>
      </c>
      <c r="AB1364" s="4" t="s">
        <v>2224</v>
      </c>
      <c r="AC1364" s="7" t="s">
        <v>2244</v>
      </c>
    </row>
    <row r="1365" spans="1:29" ht="15" customHeight="1" collapsed="1" thickBot="1" x14ac:dyDescent="0.3">
      <c r="A1365" s="20" t="str">
        <f>CONCATENATE("866"," - ","MR", " ","Jabulani"," ", "Radebe")</f>
        <v>866 - MR Jabulani Radebe</v>
      </c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2"/>
    </row>
    <row r="1366" spans="1:29" ht="15" hidden="1" customHeight="1" outlineLevel="1" thickBot="1" x14ac:dyDescent="0.3">
      <c r="A1366" s="4" t="s">
        <v>4287</v>
      </c>
      <c r="B1366" s="4" t="s">
        <v>729</v>
      </c>
      <c r="C1366" s="4" t="s">
        <v>2220</v>
      </c>
      <c r="D1366" s="5">
        <v>42962.461805555555</v>
      </c>
      <c r="E1366" s="4" t="s">
        <v>2221</v>
      </c>
      <c r="F1366" s="4" t="s">
        <v>2222</v>
      </c>
      <c r="G1366" s="4" t="s">
        <v>2014</v>
      </c>
      <c r="H1366" s="4" t="s">
        <v>888</v>
      </c>
      <c r="I1366" s="4" t="s">
        <v>2117</v>
      </c>
      <c r="J1366" s="4" t="s">
        <v>971</v>
      </c>
      <c r="K1366" s="5">
        <v>30598</v>
      </c>
      <c r="L1366" s="4" t="s">
        <v>4288</v>
      </c>
      <c r="M1366" s="4" t="s">
        <v>9</v>
      </c>
      <c r="N1366" s="5">
        <v>42644</v>
      </c>
      <c r="O1366" s="5" t="s">
        <v>2224</v>
      </c>
      <c r="P1366" s="4" t="s">
        <v>2224</v>
      </c>
      <c r="Q1366" s="4" t="s">
        <v>4289</v>
      </c>
      <c r="R1366" s="4" t="s">
        <v>2226</v>
      </c>
      <c r="S1366" s="4" t="s">
        <v>2227</v>
      </c>
      <c r="T1366" s="4" t="s">
        <v>2228</v>
      </c>
      <c r="U1366" s="4" t="s">
        <v>2229</v>
      </c>
      <c r="V1366" s="4" t="s">
        <v>25</v>
      </c>
      <c r="W1366" s="4" t="s">
        <v>2278</v>
      </c>
      <c r="X1366" s="4" t="s">
        <v>2224</v>
      </c>
      <c r="Y1366" s="4" t="s">
        <v>2449</v>
      </c>
      <c r="Z1366" s="6">
        <v>9990.49</v>
      </c>
      <c r="AA1366" s="6">
        <v>119885.88</v>
      </c>
      <c r="AB1366" s="4" t="s">
        <v>2224</v>
      </c>
      <c r="AC1366" s="7" t="s">
        <v>2244</v>
      </c>
    </row>
    <row r="1367" spans="1:29" ht="15" customHeight="1" collapsed="1" thickBot="1" x14ac:dyDescent="0.3">
      <c r="A1367" s="20" t="str">
        <f>CONCATENATE("87"," - ","MR", " ","Omar"," ", "Cassim")</f>
        <v>87 - MR Omar Cassim</v>
      </c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2"/>
    </row>
    <row r="1368" spans="1:29" ht="15" hidden="1" customHeight="1" outlineLevel="1" thickBot="1" x14ac:dyDescent="0.3">
      <c r="A1368" s="4" t="s">
        <v>4290</v>
      </c>
      <c r="B1368" s="4" t="s">
        <v>689</v>
      </c>
      <c r="C1368" s="4" t="s">
        <v>2220</v>
      </c>
      <c r="D1368" s="5">
        <v>42962.549999999996</v>
      </c>
      <c r="E1368" s="4" t="s">
        <v>2221</v>
      </c>
      <c r="F1368" s="4" t="s">
        <v>2222</v>
      </c>
      <c r="G1368" s="4" t="s">
        <v>2014</v>
      </c>
      <c r="H1368" s="4" t="s">
        <v>2046</v>
      </c>
      <c r="I1368" s="4" t="s">
        <v>2047</v>
      </c>
      <c r="J1368" s="4" t="s">
        <v>2045</v>
      </c>
      <c r="K1368" s="5">
        <v>35039</v>
      </c>
      <c r="L1368" s="4" t="s">
        <v>4291</v>
      </c>
      <c r="M1368" s="4" t="s">
        <v>9</v>
      </c>
      <c r="N1368" s="5">
        <v>42494</v>
      </c>
      <c r="O1368" s="5" t="s">
        <v>2224</v>
      </c>
      <c r="P1368" s="4" t="s">
        <v>2224</v>
      </c>
      <c r="Q1368" s="4" t="s">
        <v>4126</v>
      </c>
      <c r="R1368" s="4" t="s">
        <v>2226</v>
      </c>
      <c r="S1368" s="4" t="s">
        <v>2227</v>
      </c>
      <c r="T1368" s="4" t="s">
        <v>2228</v>
      </c>
      <c r="U1368" s="4" t="s">
        <v>2237</v>
      </c>
      <c r="V1368" s="4" t="s">
        <v>8</v>
      </c>
      <c r="W1368" s="4" t="s">
        <v>2278</v>
      </c>
      <c r="X1368" s="4" t="s">
        <v>2224</v>
      </c>
      <c r="Y1368" s="4" t="s">
        <v>2239</v>
      </c>
      <c r="Z1368" s="6">
        <v>16081.7</v>
      </c>
      <c r="AA1368" s="6">
        <v>192980.4</v>
      </c>
      <c r="AB1368" s="4" t="s">
        <v>2232</v>
      </c>
      <c r="AC1368" s="7" t="s">
        <v>2224</v>
      </c>
    </row>
    <row r="1369" spans="1:29" ht="15" customHeight="1" collapsed="1" thickBot="1" x14ac:dyDescent="0.3">
      <c r="A1369" s="20" t="str">
        <f>CONCATENATE("88"," - ","MRS", " ","Tabita"," ", "Cekiso-Bono")</f>
        <v>88 - MRS Tabita Cekiso-Bono</v>
      </c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2"/>
    </row>
    <row r="1370" spans="1:29" ht="15" hidden="1" customHeight="1" outlineLevel="1" thickBot="1" x14ac:dyDescent="0.3">
      <c r="A1370" s="4" t="s">
        <v>4292</v>
      </c>
      <c r="B1370" s="4" t="s">
        <v>585</v>
      </c>
      <c r="C1370" s="4" t="s">
        <v>2220</v>
      </c>
      <c r="D1370" s="5">
        <v>42962.461111111108</v>
      </c>
      <c r="E1370" s="4" t="s">
        <v>2221</v>
      </c>
      <c r="F1370" s="4" t="s">
        <v>2222</v>
      </c>
      <c r="G1370" s="4" t="s">
        <v>2280</v>
      </c>
      <c r="H1370" s="4" t="s">
        <v>1886</v>
      </c>
      <c r="I1370" s="4" t="s">
        <v>1751</v>
      </c>
      <c r="J1370" s="4" t="s">
        <v>1885</v>
      </c>
      <c r="K1370" s="5">
        <v>31262</v>
      </c>
      <c r="L1370" s="4" t="s">
        <v>4293</v>
      </c>
      <c r="M1370" s="4" t="s">
        <v>9</v>
      </c>
      <c r="N1370" s="5">
        <v>42135</v>
      </c>
      <c r="O1370" s="5" t="s">
        <v>2224</v>
      </c>
      <c r="P1370" s="4" t="s">
        <v>2224</v>
      </c>
      <c r="Q1370" s="4" t="s">
        <v>4294</v>
      </c>
      <c r="R1370" s="4" t="s">
        <v>2226</v>
      </c>
      <c r="S1370" s="4" t="s">
        <v>2227</v>
      </c>
      <c r="T1370" s="4" t="s">
        <v>2228</v>
      </c>
      <c r="U1370" s="4" t="s">
        <v>2229</v>
      </c>
      <c r="V1370" s="4" t="s">
        <v>25</v>
      </c>
      <c r="W1370" s="4" t="s">
        <v>2278</v>
      </c>
      <c r="X1370" s="4" t="s">
        <v>2224</v>
      </c>
      <c r="Y1370" s="4" t="s">
        <v>2380</v>
      </c>
      <c r="Z1370" s="6">
        <v>10710.1538</v>
      </c>
      <c r="AA1370" s="6">
        <v>128521.85</v>
      </c>
      <c r="AB1370" s="4" t="s">
        <v>2232</v>
      </c>
      <c r="AC1370" s="7" t="s">
        <v>2224</v>
      </c>
    </row>
    <row r="1371" spans="1:29" ht="15" customHeight="1" collapsed="1" thickBot="1" x14ac:dyDescent="0.3">
      <c r="A1371" s="20" t="str">
        <f>CONCATENATE("90"," - ","MS", " ","Siphokazi"," ", "Chamane")</f>
        <v>90 - MS Siphokazi Chamane</v>
      </c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2"/>
    </row>
    <row r="1372" spans="1:29" ht="15" hidden="1" customHeight="1" outlineLevel="1" thickBot="1" x14ac:dyDescent="0.3">
      <c r="A1372" s="4" t="s">
        <v>4295</v>
      </c>
      <c r="B1372" s="4" t="s">
        <v>699</v>
      </c>
      <c r="C1372" s="4" t="s">
        <v>2220</v>
      </c>
      <c r="D1372" s="5">
        <v>42962.549999999996</v>
      </c>
      <c r="E1372" s="4" t="s">
        <v>2221</v>
      </c>
      <c r="F1372" s="4" t="s">
        <v>2222</v>
      </c>
      <c r="G1372" s="4" t="s">
        <v>813</v>
      </c>
      <c r="H1372" s="4" t="s">
        <v>1098</v>
      </c>
      <c r="I1372" s="4" t="s">
        <v>1320</v>
      </c>
      <c r="J1372" s="4" t="s">
        <v>2063</v>
      </c>
      <c r="K1372" s="5">
        <v>35383</v>
      </c>
      <c r="L1372" s="4" t="s">
        <v>4296</v>
      </c>
      <c r="M1372" s="4" t="s">
        <v>9</v>
      </c>
      <c r="N1372" s="5">
        <v>42527</v>
      </c>
      <c r="O1372" s="5" t="s">
        <v>2224</v>
      </c>
      <c r="P1372" s="4" t="s">
        <v>2224</v>
      </c>
      <c r="Q1372" s="4" t="s">
        <v>4297</v>
      </c>
      <c r="R1372" s="4" t="s">
        <v>2226</v>
      </c>
      <c r="S1372" s="4" t="s">
        <v>2227</v>
      </c>
      <c r="T1372" s="4" t="s">
        <v>2228</v>
      </c>
      <c r="U1372" s="4" t="s">
        <v>2237</v>
      </c>
      <c r="V1372" s="4" t="s">
        <v>125</v>
      </c>
      <c r="W1372" s="4" t="s">
        <v>2278</v>
      </c>
      <c r="X1372" s="4" t="s">
        <v>2224</v>
      </c>
      <c r="Y1372" s="4" t="s">
        <v>2239</v>
      </c>
      <c r="Z1372" s="6">
        <v>16081.7</v>
      </c>
      <c r="AA1372" s="6">
        <v>192980.4</v>
      </c>
      <c r="AB1372" s="4" t="s">
        <v>2232</v>
      </c>
      <c r="AC1372" s="7" t="s">
        <v>2224</v>
      </c>
    </row>
    <row r="1373" spans="1:29" ht="15" customHeight="1" collapsed="1" thickBot="1" x14ac:dyDescent="0.3">
      <c r="A1373" s="20" t="str">
        <f>CONCATENATE("901"," - ","MR", " ","Paul"," ", "Visagie")</f>
        <v>901 - MR Paul Visagie</v>
      </c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2"/>
    </row>
    <row r="1374" spans="1:29" ht="15" hidden="1" customHeight="1" outlineLevel="1" thickBot="1" x14ac:dyDescent="0.3">
      <c r="A1374" s="4" t="s">
        <v>4298</v>
      </c>
      <c r="B1374" s="4" t="s">
        <v>4299</v>
      </c>
      <c r="C1374" s="4" t="s">
        <v>2220</v>
      </c>
      <c r="D1374" s="5">
        <v>42948.649305555555</v>
      </c>
      <c r="E1374" s="4" t="s">
        <v>2221</v>
      </c>
      <c r="F1374" s="4" t="s">
        <v>2222</v>
      </c>
      <c r="G1374" s="4" t="s">
        <v>2014</v>
      </c>
      <c r="H1374" s="4" t="s">
        <v>977</v>
      </c>
      <c r="I1374" s="4" t="s">
        <v>1737</v>
      </c>
      <c r="J1374" s="4" t="s">
        <v>2149</v>
      </c>
      <c r="K1374" s="5">
        <v>29525</v>
      </c>
      <c r="L1374" s="4" t="s">
        <v>4300</v>
      </c>
      <c r="M1374" s="4" t="s">
        <v>2505</v>
      </c>
      <c r="N1374" s="5">
        <v>42644</v>
      </c>
      <c r="O1374" s="5">
        <v>42947</v>
      </c>
      <c r="P1374" s="4" t="s">
        <v>2441</v>
      </c>
      <c r="Q1374" s="4" t="s">
        <v>4301</v>
      </c>
      <c r="R1374" s="4" t="s">
        <v>2224</v>
      </c>
      <c r="S1374" s="4" t="s">
        <v>2227</v>
      </c>
      <c r="T1374" s="4" t="s">
        <v>2228</v>
      </c>
      <c r="U1374" s="4" t="s">
        <v>2229</v>
      </c>
      <c r="V1374" s="4" t="s">
        <v>116</v>
      </c>
      <c r="W1374" s="4" t="s">
        <v>2249</v>
      </c>
      <c r="X1374" s="4" t="s">
        <v>2224</v>
      </c>
      <c r="Y1374" s="4" t="s">
        <v>2224</v>
      </c>
      <c r="Z1374" s="6">
        <v>0</v>
      </c>
      <c r="AA1374" s="6">
        <v>0</v>
      </c>
      <c r="AB1374" s="4" t="s">
        <v>2224</v>
      </c>
      <c r="AC1374" s="7" t="s">
        <v>2244</v>
      </c>
    </row>
    <row r="1375" spans="1:29" ht="15" customHeight="1" collapsed="1" thickBot="1" x14ac:dyDescent="0.3">
      <c r="A1375" s="20" t="str">
        <f>CONCATENATE("91"," - ","MS", " ","Khensani"," ", "Chauke")</f>
        <v>91 - MS Khensani Chauke</v>
      </c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2"/>
    </row>
    <row r="1376" spans="1:29" ht="15" hidden="1" customHeight="1" outlineLevel="1" thickBot="1" x14ac:dyDescent="0.3">
      <c r="A1376" s="4" t="s">
        <v>4302</v>
      </c>
      <c r="B1376" s="4" t="s">
        <v>677</v>
      </c>
      <c r="C1376" s="4" t="s">
        <v>2220</v>
      </c>
      <c r="D1376" s="5">
        <v>42962.462500000001</v>
      </c>
      <c r="E1376" s="4" t="s">
        <v>2221</v>
      </c>
      <c r="F1376" s="4" t="s">
        <v>2222</v>
      </c>
      <c r="G1376" s="4" t="s">
        <v>813</v>
      </c>
      <c r="H1376" s="4" t="s">
        <v>1120</v>
      </c>
      <c r="I1376" s="4" t="s">
        <v>1852</v>
      </c>
      <c r="J1376" s="4" t="s">
        <v>2026</v>
      </c>
      <c r="K1376" s="5">
        <v>34738</v>
      </c>
      <c r="L1376" s="4" t="s">
        <v>4303</v>
      </c>
      <c r="M1376" s="4" t="s">
        <v>9</v>
      </c>
      <c r="N1376" s="5">
        <v>42072</v>
      </c>
      <c r="O1376" s="5" t="s">
        <v>2224</v>
      </c>
      <c r="P1376" s="4" t="s">
        <v>2224</v>
      </c>
      <c r="Q1376" s="4" t="s">
        <v>4304</v>
      </c>
      <c r="R1376" s="4" t="s">
        <v>2226</v>
      </c>
      <c r="S1376" s="4" t="s">
        <v>2227</v>
      </c>
      <c r="T1376" s="4" t="s">
        <v>2228</v>
      </c>
      <c r="U1376" s="4" t="s">
        <v>2229</v>
      </c>
      <c r="V1376" s="4" t="s">
        <v>116</v>
      </c>
      <c r="W1376" s="4" t="s">
        <v>2249</v>
      </c>
      <c r="X1376" s="4" t="s">
        <v>2224</v>
      </c>
      <c r="Y1376" s="4" t="s">
        <v>2549</v>
      </c>
      <c r="Z1376" s="6">
        <v>26469.99</v>
      </c>
      <c r="AA1376" s="6">
        <v>317639.88</v>
      </c>
      <c r="AB1376" s="4" t="s">
        <v>2232</v>
      </c>
      <c r="AC1376" s="7" t="s">
        <v>2224</v>
      </c>
    </row>
    <row r="1377" spans="1:29" ht="15" customHeight="1" collapsed="1" thickBot="1" x14ac:dyDescent="0.3">
      <c r="A1377" s="20" t="str">
        <f>CONCATENATE("92"," - ","MR", " ","Gideon"," ", "Chen")</f>
        <v>92 - MR Gideon Chen</v>
      </c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2"/>
    </row>
    <row r="1378" spans="1:29" ht="15" hidden="1" customHeight="1" outlineLevel="1" thickBot="1" x14ac:dyDescent="0.3">
      <c r="A1378" s="4" t="s">
        <v>4305</v>
      </c>
      <c r="B1378" s="4" t="s">
        <v>232</v>
      </c>
      <c r="C1378" s="4" t="s">
        <v>2220</v>
      </c>
      <c r="D1378" s="5">
        <v>42962.462500000001</v>
      </c>
      <c r="E1378" s="4" t="s">
        <v>2221</v>
      </c>
      <c r="F1378" s="4" t="s">
        <v>2222</v>
      </c>
      <c r="G1378" s="4" t="s">
        <v>2014</v>
      </c>
      <c r="H1378" s="4" t="s">
        <v>1228</v>
      </c>
      <c r="I1378" s="4" t="s">
        <v>1229</v>
      </c>
      <c r="J1378" s="4" t="s">
        <v>1227</v>
      </c>
      <c r="K1378" s="5">
        <v>31689</v>
      </c>
      <c r="L1378" s="4" t="s">
        <v>4306</v>
      </c>
      <c r="M1378" s="4" t="s">
        <v>9</v>
      </c>
      <c r="N1378" s="5">
        <v>40299</v>
      </c>
      <c r="O1378" s="5" t="s">
        <v>2224</v>
      </c>
      <c r="P1378" s="4" t="s">
        <v>2224</v>
      </c>
      <c r="Q1378" s="4" t="s">
        <v>4307</v>
      </c>
      <c r="R1378" s="4" t="s">
        <v>2226</v>
      </c>
      <c r="S1378" s="4" t="s">
        <v>2227</v>
      </c>
      <c r="T1378" s="4" t="s">
        <v>2228</v>
      </c>
      <c r="U1378" s="4" t="s">
        <v>2248</v>
      </c>
      <c r="V1378" s="4" t="s">
        <v>25</v>
      </c>
      <c r="W1378" s="4" t="s">
        <v>2278</v>
      </c>
      <c r="X1378" s="4" t="s">
        <v>2224</v>
      </c>
      <c r="Y1378" s="4" t="s">
        <v>2609</v>
      </c>
      <c r="Z1378" s="6">
        <v>17112.251499999998</v>
      </c>
      <c r="AA1378" s="6">
        <v>205347.02</v>
      </c>
      <c r="AB1378" s="4" t="s">
        <v>2232</v>
      </c>
      <c r="AC1378" s="7" t="s">
        <v>2224</v>
      </c>
    </row>
    <row r="1379" spans="1:29" ht="15" customHeight="1" collapsed="1" thickBot="1" x14ac:dyDescent="0.3">
      <c r="A1379" s="20" t="str">
        <f>CONCATENATE("93"," - ","MISS", " ","Ricodia"," ", "Chetty")</f>
        <v>93 - MISS Ricodia Chetty</v>
      </c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2"/>
    </row>
    <row r="1380" spans="1:29" ht="15" hidden="1" customHeight="1" outlineLevel="1" thickBot="1" x14ac:dyDescent="0.3">
      <c r="A1380" s="4" t="s">
        <v>4308</v>
      </c>
      <c r="B1380" s="4" t="s">
        <v>500</v>
      </c>
      <c r="C1380" s="4" t="s">
        <v>2220</v>
      </c>
      <c r="D1380" s="5">
        <v>42962.549999999996</v>
      </c>
      <c r="E1380" s="4" t="s">
        <v>2221</v>
      </c>
      <c r="F1380" s="4" t="s">
        <v>2222</v>
      </c>
      <c r="G1380" s="4" t="s">
        <v>2234</v>
      </c>
      <c r="H1380" s="4" t="s">
        <v>1731</v>
      </c>
      <c r="I1380" s="4" t="s">
        <v>1732</v>
      </c>
      <c r="J1380" s="4" t="s">
        <v>1730</v>
      </c>
      <c r="K1380" s="5">
        <v>33847</v>
      </c>
      <c r="L1380" s="4" t="s">
        <v>4309</v>
      </c>
      <c r="M1380" s="4" t="s">
        <v>9</v>
      </c>
      <c r="N1380" s="5">
        <v>41963</v>
      </c>
      <c r="O1380" s="5" t="s">
        <v>2224</v>
      </c>
      <c r="P1380" s="4" t="s">
        <v>2224</v>
      </c>
      <c r="Q1380" s="4" t="s">
        <v>4310</v>
      </c>
      <c r="R1380" s="4" t="s">
        <v>2226</v>
      </c>
      <c r="S1380" s="4" t="s">
        <v>2227</v>
      </c>
      <c r="T1380" s="4" t="s">
        <v>2228</v>
      </c>
      <c r="U1380" s="4" t="s">
        <v>2237</v>
      </c>
      <c r="V1380" s="4" t="s">
        <v>8</v>
      </c>
      <c r="W1380" s="4" t="s">
        <v>2278</v>
      </c>
      <c r="X1380" s="4" t="s">
        <v>2224</v>
      </c>
      <c r="Y1380" s="4" t="s">
        <v>2239</v>
      </c>
      <c r="Z1380" s="6">
        <v>16282.77</v>
      </c>
      <c r="AA1380" s="6">
        <v>195393.24</v>
      </c>
      <c r="AB1380" s="4" t="s">
        <v>2232</v>
      </c>
      <c r="AC1380" s="7" t="s">
        <v>2224</v>
      </c>
    </row>
    <row r="1381" spans="1:29" ht="15" customHeight="1" collapsed="1" thickBot="1" x14ac:dyDescent="0.3">
      <c r="A1381" s="20" t="str">
        <f>CONCATENATE("94"," - ","MS", " ","Shivanee"," ", "Chetty")</f>
        <v>94 - MS Shivanee Chetty</v>
      </c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2"/>
    </row>
    <row r="1382" spans="1:29" ht="15" hidden="1" customHeight="1" outlineLevel="1" thickBot="1" x14ac:dyDescent="0.3">
      <c r="A1382" s="4" t="s">
        <v>4311</v>
      </c>
      <c r="B1382" s="4" t="s">
        <v>693</v>
      </c>
      <c r="C1382" s="4" t="s">
        <v>2220</v>
      </c>
      <c r="D1382" s="5">
        <v>42962.549999999996</v>
      </c>
      <c r="E1382" s="4" t="s">
        <v>2221</v>
      </c>
      <c r="F1382" s="4" t="s">
        <v>2222</v>
      </c>
      <c r="G1382" s="4" t="s">
        <v>813</v>
      </c>
      <c r="H1382" s="4" t="s">
        <v>800</v>
      </c>
      <c r="I1382" s="4" t="s">
        <v>2054</v>
      </c>
      <c r="J1382" s="4" t="s">
        <v>1730</v>
      </c>
      <c r="K1382" s="5">
        <v>34843</v>
      </c>
      <c r="L1382" s="4" t="s">
        <v>4312</v>
      </c>
      <c r="M1382" s="4" t="s">
        <v>9</v>
      </c>
      <c r="N1382" s="5">
        <v>42494</v>
      </c>
      <c r="O1382" s="5" t="s">
        <v>2224</v>
      </c>
      <c r="P1382" s="4" t="s">
        <v>2224</v>
      </c>
      <c r="Q1382" s="4" t="s">
        <v>4138</v>
      </c>
      <c r="R1382" s="4" t="s">
        <v>2226</v>
      </c>
      <c r="S1382" s="4" t="s">
        <v>2227</v>
      </c>
      <c r="T1382" s="4" t="s">
        <v>2228</v>
      </c>
      <c r="U1382" s="4" t="s">
        <v>2237</v>
      </c>
      <c r="V1382" s="4" t="s">
        <v>125</v>
      </c>
      <c r="W1382" s="4" t="s">
        <v>2278</v>
      </c>
      <c r="X1382" s="4" t="s">
        <v>2224</v>
      </c>
      <c r="Y1382" s="4" t="s">
        <v>2239</v>
      </c>
      <c r="Z1382" s="6">
        <v>16081.7</v>
      </c>
      <c r="AA1382" s="6">
        <v>192980.4</v>
      </c>
      <c r="AB1382" s="4" t="s">
        <v>2232</v>
      </c>
      <c r="AC1382" s="7" t="s">
        <v>2224</v>
      </c>
    </row>
    <row r="1383" spans="1:29" ht="15" customHeight="1" collapsed="1" thickBot="1" x14ac:dyDescent="0.3">
      <c r="A1383" s="20" t="str">
        <f>CONCATENATE("95"," - ","MR", " ","Rodney"," ", "Chinn")</f>
        <v>95 - MR Rodney Chinn</v>
      </c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2"/>
    </row>
    <row r="1384" spans="1:29" ht="15" hidden="1" customHeight="1" outlineLevel="1" thickBot="1" x14ac:dyDescent="0.3">
      <c r="A1384" s="4" t="s">
        <v>4313</v>
      </c>
      <c r="B1384" s="4" t="s">
        <v>311</v>
      </c>
      <c r="C1384" s="4" t="s">
        <v>2220</v>
      </c>
      <c r="D1384" s="5">
        <v>42963.285416666666</v>
      </c>
      <c r="E1384" s="4" t="s">
        <v>2221</v>
      </c>
      <c r="F1384" s="4" t="s">
        <v>2222</v>
      </c>
      <c r="G1384" s="4" t="s">
        <v>2014</v>
      </c>
      <c r="H1384" s="4" t="s">
        <v>1366</v>
      </c>
      <c r="I1384" s="4" t="s">
        <v>1367</v>
      </c>
      <c r="J1384" s="4" t="s">
        <v>1365</v>
      </c>
      <c r="K1384" s="5">
        <v>16586</v>
      </c>
      <c r="L1384" s="4" t="s">
        <v>4314</v>
      </c>
      <c r="M1384" s="4" t="s">
        <v>9</v>
      </c>
      <c r="N1384" s="5">
        <v>41122</v>
      </c>
      <c r="O1384" s="5" t="s">
        <v>2224</v>
      </c>
      <c r="P1384" s="4" t="s">
        <v>2224</v>
      </c>
      <c r="Q1384" s="4" t="s">
        <v>4315</v>
      </c>
      <c r="R1384" s="4" t="s">
        <v>2226</v>
      </c>
      <c r="S1384" s="4" t="s">
        <v>2227</v>
      </c>
      <c r="T1384" s="4" t="s">
        <v>2228</v>
      </c>
      <c r="U1384" s="4" t="s">
        <v>2258</v>
      </c>
      <c r="V1384" s="4" t="s">
        <v>198</v>
      </c>
      <c r="W1384" s="4" t="s">
        <v>2249</v>
      </c>
      <c r="X1384" s="4" t="s">
        <v>2224</v>
      </c>
      <c r="Y1384" s="4" t="s">
        <v>2259</v>
      </c>
      <c r="Z1384" s="6">
        <v>154370.89000000001</v>
      </c>
      <c r="AA1384" s="6">
        <v>1852450.68</v>
      </c>
      <c r="AB1384" s="4" t="s">
        <v>2232</v>
      </c>
      <c r="AC1384" s="7" t="s">
        <v>2224</v>
      </c>
    </row>
    <row r="1385" spans="1:29" ht="15" customHeight="1" collapsed="1" thickBot="1" x14ac:dyDescent="0.3">
      <c r="A1385" s="20" t="str">
        <f>CONCATENATE("956"," - ","MS", " ","Aimee Lee"," ", "Williams")</f>
        <v>956 - MS Aimee Lee Williams</v>
      </c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2"/>
    </row>
    <row r="1386" spans="1:29" ht="15" hidden="1" customHeight="1" outlineLevel="1" thickBot="1" x14ac:dyDescent="0.3">
      <c r="A1386" s="4" t="s">
        <v>4316</v>
      </c>
      <c r="B1386" s="4" t="s">
        <v>738</v>
      </c>
      <c r="C1386" s="4" t="s">
        <v>2220</v>
      </c>
      <c r="D1386" s="5">
        <v>42962.549999999996</v>
      </c>
      <c r="E1386" s="4" t="s">
        <v>2221</v>
      </c>
      <c r="F1386" s="4" t="s">
        <v>2222</v>
      </c>
      <c r="G1386" s="4" t="s">
        <v>813</v>
      </c>
      <c r="H1386" s="4" t="s">
        <v>1075</v>
      </c>
      <c r="I1386" s="4" t="s">
        <v>2131</v>
      </c>
      <c r="J1386" s="4" t="s">
        <v>927</v>
      </c>
      <c r="K1386" s="5">
        <v>32966</v>
      </c>
      <c r="L1386" s="4" t="s">
        <v>4317</v>
      </c>
      <c r="M1386" s="4" t="s">
        <v>9</v>
      </c>
      <c r="N1386" s="5">
        <v>42670</v>
      </c>
      <c r="O1386" s="5" t="s">
        <v>2224</v>
      </c>
      <c r="P1386" s="4" t="s">
        <v>2224</v>
      </c>
      <c r="Q1386" s="4" t="s">
        <v>4318</v>
      </c>
      <c r="R1386" s="4" t="s">
        <v>2226</v>
      </c>
      <c r="S1386" s="4" t="s">
        <v>2227</v>
      </c>
      <c r="T1386" s="4" t="s">
        <v>2228</v>
      </c>
      <c r="U1386" s="4" t="s">
        <v>2237</v>
      </c>
      <c r="V1386" s="4" t="s">
        <v>8</v>
      </c>
      <c r="W1386" s="4" t="s">
        <v>2278</v>
      </c>
      <c r="X1386" s="4" t="s">
        <v>2224</v>
      </c>
      <c r="Y1386" s="4" t="s">
        <v>2239</v>
      </c>
      <c r="Z1386" s="6">
        <v>15883.16</v>
      </c>
      <c r="AA1386" s="6">
        <v>190597.92</v>
      </c>
      <c r="AB1386" s="4" t="s">
        <v>2224</v>
      </c>
      <c r="AC1386" s="7" t="s">
        <v>2244</v>
      </c>
    </row>
    <row r="1387" spans="1:29" ht="15" customHeight="1" collapsed="1" thickBot="1" x14ac:dyDescent="0.3">
      <c r="A1387" s="20" t="str">
        <f>CONCATENATE("957"," - ","MR", " ","Lesedi"," ", "Sekonyela")</f>
        <v>957 - MR Lesedi Sekonyela</v>
      </c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2"/>
    </row>
    <row r="1388" spans="1:29" ht="15" hidden="1" customHeight="1" outlineLevel="1" thickBot="1" x14ac:dyDescent="0.3">
      <c r="A1388" s="4" t="s">
        <v>4319</v>
      </c>
      <c r="B1388" s="4" t="s">
        <v>733</v>
      </c>
      <c r="C1388" s="4" t="s">
        <v>2220</v>
      </c>
      <c r="D1388" s="5">
        <v>42962.549999999996</v>
      </c>
      <c r="E1388" s="4" t="s">
        <v>2221</v>
      </c>
      <c r="F1388" s="4" t="s">
        <v>2222</v>
      </c>
      <c r="G1388" s="4" t="s">
        <v>2014</v>
      </c>
      <c r="H1388" s="4" t="s">
        <v>2122</v>
      </c>
      <c r="I1388" s="4" t="s">
        <v>2123</v>
      </c>
      <c r="J1388" s="4" t="s">
        <v>2121</v>
      </c>
      <c r="K1388" s="5">
        <v>34186</v>
      </c>
      <c r="L1388" s="4" t="s">
        <v>4320</v>
      </c>
      <c r="M1388" s="4" t="s">
        <v>9</v>
      </c>
      <c r="N1388" s="5">
        <v>42670</v>
      </c>
      <c r="O1388" s="5" t="s">
        <v>2224</v>
      </c>
      <c r="P1388" s="4" t="s">
        <v>2224</v>
      </c>
      <c r="Q1388" s="4" t="s">
        <v>4321</v>
      </c>
      <c r="R1388" s="4" t="s">
        <v>2226</v>
      </c>
      <c r="S1388" s="4" t="s">
        <v>2227</v>
      </c>
      <c r="T1388" s="4" t="s">
        <v>2228</v>
      </c>
      <c r="U1388" s="4" t="s">
        <v>2237</v>
      </c>
      <c r="V1388" s="4" t="s">
        <v>8</v>
      </c>
      <c r="W1388" s="4" t="s">
        <v>2278</v>
      </c>
      <c r="X1388" s="4" t="s">
        <v>2224</v>
      </c>
      <c r="Y1388" s="4" t="s">
        <v>2239</v>
      </c>
      <c r="Z1388" s="6">
        <v>15883.16</v>
      </c>
      <c r="AA1388" s="6">
        <v>190597.92</v>
      </c>
      <c r="AB1388" s="4" t="s">
        <v>2224</v>
      </c>
      <c r="AC1388" s="7" t="s">
        <v>2244</v>
      </c>
    </row>
    <row r="1389" spans="1:29" ht="15" customHeight="1" collapsed="1" thickBot="1" x14ac:dyDescent="0.3">
      <c r="A1389" s="20" t="str">
        <f>CONCATENATE("958"," - ","MS", " ","Kgoadi"," ", "Molokomme")</f>
        <v>958 - MS Kgoadi Molokomme</v>
      </c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2"/>
    </row>
    <row r="1390" spans="1:29" ht="15" hidden="1" customHeight="1" outlineLevel="1" thickBot="1" x14ac:dyDescent="0.3">
      <c r="A1390" s="4" t="s">
        <v>4322</v>
      </c>
      <c r="B1390" s="4" t="s">
        <v>734</v>
      </c>
      <c r="C1390" s="4" t="s">
        <v>2220</v>
      </c>
      <c r="D1390" s="5">
        <v>42962.549999999996</v>
      </c>
      <c r="E1390" s="4" t="s">
        <v>2221</v>
      </c>
      <c r="F1390" s="4" t="s">
        <v>2222</v>
      </c>
      <c r="G1390" s="4" t="s">
        <v>813</v>
      </c>
      <c r="H1390" s="4" t="s">
        <v>1425</v>
      </c>
      <c r="I1390" s="4" t="s">
        <v>2124</v>
      </c>
      <c r="J1390" s="4" t="s">
        <v>2010</v>
      </c>
      <c r="K1390" s="5">
        <v>32821</v>
      </c>
      <c r="L1390" s="4" t="s">
        <v>4323</v>
      </c>
      <c r="M1390" s="4" t="s">
        <v>9</v>
      </c>
      <c r="N1390" s="5">
        <v>42670</v>
      </c>
      <c r="O1390" s="5" t="s">
        <v>2224</v>
      </c>
      <c r="P1390" s="4" t="s">
        <v>2224</v>
      </c>
      <c r="Q1390" s="4" t="s">
        <v>4324</v>
      </c>
      <c r="R1390" s="4" t="s">
        <v>2226</v>
      </c>
      <c r="S1390" s="4" t="s">
        <v>2227</v>
      </c>
      <c r="T1390" s="4" t="s">
        <v>2228</v>
      </c>
      <c r="U1390" s="4" t="s">
        <v>2237</v>
      </c>
      <c r="V1390" s="4" t="s">
        <v>8</v>
      </c>
      <c r="W1390" s="4" t="s">
        <v>2278</v>
      </c>
      <c r="X1390" s="4" t="s">
        <v>2224</v>
      </c>
      <c r="Y1390" s="4" t="s">
        <v>2239</v>
      </c>
      <c r="Z1390" s="6">
        <v>15883.16</v>
      </c>
      <c r="AA1390" s="6">
        <v>190597.92</v>
      </c>
      <c r="AB1390" s="4" t="s">
        <v>2224</v>
      </c>
      <c r="AC1390" s="7" t="s">
        <v>2244</v>
      </c>
    </row>
    <row r="1391" spans="1:29" ht="15" customHeight="1" collapsed="1" thickBot="1" x14ac:dyDescent="0.3">
      <c r="A1391" s="20" t="str">
        <f>CONCATENATE("959"," - ","MR", " ","Reagile"," ", "Lekgoane")</f>
        <v>959 - MR Reagile Lekgoane</v>
      </c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2"/>
    </row>
    <row r="1392" spans="1:29" ht="15" hidden="1" customHeight="1" outlineLevel="1" thickBot="1" x14ac:dyDescent="0.3">
      <c r="A1392" s="4" t="s">
        <v>4325</v>
      </c>
      <c r="B1392" s="4" t="s">
        <v>735</v>
      </c>
      <c r="C1392" s="4" t="s">
        <v>2220</v>
      </c>
      <c r="D1392" s="5">
        <v>42962.549999999996</v>
      </c>
      <c r="E1392" s="4" t="s">
        <v>2221</v>
      </c>
      <c r="F1392" s="4" t="s">
        <v>2222</v>
      </c>
      <c r="G1392" s="4" t="s">
        <v>2014</v>
      </c>
      <c r="H1392" s="4" t="s">
        <v>2127</v>
      </c>
      <c r="I1392" s="4" t="s">
        <v>2126</v>
      </c>
      <c r="J1392" s="4" t="s">
        <v>2125</v>
      </c>
      <c r="K1392" s="5">
        <v>31411</v>
      </c>
      <c r="L1392" s="4" t="s">
        <v>4326</v>
      </c>
      <c r="M1392" s="4" t="s">
        <v>9</v>
      </c>
      <c r="N1392" s="5">
        <v>42670</v>
      </c>
      <c r="O1392" s="5" t="s">
        <v>2224</v>
      </c>
      <c r="P1392" s="4" t="s">
        <v>2224</v>
      </c>
      <c r="Q1392" s="4" t="s">
        <v>4327</v>
      </c>
      <c r="R1392" s="4" t="s">
        <v>2226</v>
      </c>
      <c r="S1392" s="4" t="s">
        <v>2227</v>
      </c>
      <c r="T1392" s="4" t="s">
        <v>2228</v>
      </c>
      <c r="U1392" s="4" t="s">
        <v>2237</v>
      </c>
      <c r="V1392" s="4" t="s">
        <v>8</v>
      </c>
      <c r="W1392" s="4" t="s">
        <v>2278</v>
      </c>
      <c r="X1392" s="4" t="s">
        <v>2224</v>
      </c>
      <c r="Y1392" s="4" t="s">
        <v>2239</v>
      </c>
      <c r="Z1392" s="6">
        <v>15883.16</v>
      </c>
      <c r="AA1392" s="6">
        <v>190597.92</v>
      </c>
      <c r="AB1392" s="4" t="s">
        <v>2224</v>
      </c>
      <c r="AC1392" s="7" t="s">
        <v>2244</v>
      </c>
    </row>
    <row r="1393" spans="1:29" ht="15" customHeight="1" collapsed="1" thickBot="1" x14ac:dyDescent="0.3">
      <c r="A1393" s="20" t="str">
        <f>CONCATENATE("96"," - ","MISS", " ","Demi"," ", "Chotia")</f>
        <v>96 - MISS Demi Chotia</v>
      </c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2"/>
    </row>
    <row r="1394" spans="1:29" ht="15" hidden="1" customHeight="1" outlineLevel="1" thickBot="1" x14ac:dyDescent="0.3">
      <c r="A1394" s="4" t="s">
        <v>4328</v>
      </c>
      <c r="B1394" s="4" t="s">
        <v>4329</v>
      </c>
      <c r="C1394" s="4" t="s">
        <v>2220</v>
      </c>
      <c r="D1394" s="5">
        <v>42948.650694444441</v>
      </c>
      <c r="E1394" s="4" t="s">
        <v>2221</v>
      </c>
      <c r="F1394" s="4" t="s">
        <v>2222</v>
      </c>
      <c r="G1394" s="4" t="s">
        <v>2234</v>
      </c>
      <c r="H1394" s="4" t="s">
        <v>1572</v>
      </c>
      <c r="I1394" s="4" t="s">
        <v>4330</v>
      </c>
      <c r="J1394" s="4" t="s">
        <v>4331</v>
      </c>
      <c r="K1394" s="5">
        <v>34011</v>
      </c>
      <c r="L1394" s="4" t="s">
        <v>4332</v>
      </c>
      <c r="M1394" s="4" t="s">
        <v>2505</v>
      </c>
      <c r="N1394" s="5">
        <v>41587</v>
      </c>
      <c r="O1394" s="5">
        <v>42929</v>
      </c>
      <c r="P1394" s="4" t="s">
        <v>2441</v>
      </c>
      <c r="Q1394" s="4" t="s">
        <v>4333</v>
      </c>
      <c r="R1394" s="4" t="s">
        <v>2224</v>
      </c>
      <c r="S1394" s="4" t="s">
        <v>2227</v>
      </c>
      <c r="T1394" s="4" t="s">
        <v>2228</v>
      </c>
      <c r="U1394" s="4" t="s">
        <v>2237</v>
      </c>
      <c r="V1394" s="4" t="s">
        <v>8</v>
      </c>
      <c r="W1394" s="4" t="s">
        <v>2278</v>
      </c>
      <c r="X1394" s="4" t="s">
        <v>2224</v>
      </c>
      <c r="Y1394" s="4" t="s">
        <v>2224</v>
      </c>
      <c r="Z1394" s="6">
        <v>0</v>
      </c>
      <c r="AA1394" s="6">
        <v>0</v>
      </c>
      <c r="AB1394" s="4" t="s">
        <v>2232</v>
      </c>
      <c r="AC1394" s="7" t="s">
        <v>2224</v>
      </c>
    </row>
    <row r="1395" spans="1:29" ht="15" customHeight="1" collapsed="1" thickBot="1" x14ac:dyDescent="0.3">
      <c r="A1395" s="20" t="str">
        <f>CONCATENATE("960"," - ","MS", " ","Jocelyn"," ", "Cupido")</f>
        <v>960 - MS Jocelyn Cupido</v>
      </c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2"/>
    </row>
    <row r="1396" spans="1:29" ht="15" hidden="1" customHeight="1" outlineLevel="1" thickBot="1" x14ac:dyDescent="0.3">
      <c r="A1396" s="4" t="s">
        <v>4334</v>
      </c>
      <c r="B1396" s="4" t="s">
        <v>736</v>
      </c>
      <c r="C1396" s="4" t="s">
        <v>2220</v>
      </c>
      <c r="D1396" s="5">
        <v>42962.549999999996</v>
      </c>
      <c r="E1396" s="4" t="s">
        <v>2221</v>
      </c>
      <c r="F1396" s="4" t="s">
        <v>2222</v>
      </c>
      <c r="G1396" s="4" t="s">
        <v>813</v>
      </c>
      <c r="H1396" s="4" t="s">
        <v>888</v>
      </c>
      <c r="I1396" s="4" t="s">
        <v>2129</v>
      </c>
      <c r="J1396" s="4" t="s">
        <v>2128</v>
      </c>
      <c r="K1396" s="5">
        <v>24760</v>
      </c>
      <c r="L1396" s="4" t="s">
        <v>4335</v>
      </c>
      <c r="M1396" s="4" t="s">
        <v>9</v>
      </c>
      <c r="N1396" s="5">
        <v>42670</v>
      </c>
      <c r="O1396" s="5" t="s">
        <v>2224</v>
      </c>
      <c r="P1396" s="4" t="s">
        <v>2224</v>
      </c>
      <c r="Q1396" s="4" t="s">
        <v>4336</v>
      </c>
      <c r="R1396" s="4" t="s">
        <v>2226</v>
      </c>
      <c r="S1396" s="4" t="s">
        <v>2227</v>
      </c>
      <c r="T1396" s="4" t="s">
        <v>2228</v>
      </c>
      <c r="U1396" s="4" t="s">
        <v>2237</v>
      </c>
      <c r="V1396" s="4" t="s">
        <v>8</v>
      </c>
      <c r="W1396" s="4" t="s">
        <v>2238</v>
      </c>
      <c r="X1396" s="4" t="s">
        <v>2224</v>
      </c>
      <c r="Y1396" s="4" t="s">
        <v>2239</v>
      </c>
      <c r="Z1396" s="6">
        <v>15883.16</v>
      </c>
      <c r="AA1396" s="6">
        <v>190597.92</v>
      </c>
      <c r="AB1396" s="4" t="s">
        <v>2224</v>
      </c>
      <c r="AC1396" s="7" t="s">
        <v>2244</v>
      </c>
    </row>
    <row r="1397" spans="1:29" ht="15" customHeight="1" collapsed="1" thickBot="1" x14ac:dyDescent="0.3">
      <c r="A1397" s="20" t="str">
        <f>CONCATENATE("961"," - ","MS", " ","Stacey"," ", "Thomas")</f>
        <v>961 - MS Stacey Thomas</v>
      </c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2"/>
    </row>
    <row r="1398" spans="1:29" ht="15" hidden="1" customHeight="1" outlineLevel="1" thickBot="1" x14ac:dyDescent="0.3">
      <c r="A1398" s="4" t="s">
        <v>4337</v>
      </c>
      <c r="B1398" s="4" t="s">
        <v>737</v>
      </c>
      <c r="C1398" s="4" t="s">
        <v>2220</v>
      </c>
      <c r="D1398" s="5">
        <v>42962.549999999996</v>
      </c>
      <c r="E1398" s="4" t="s">
        <v>2221</v>
      </c>
      <c r="F1398" s="4" t="s">
        <v>2222</v>
      </c>
      <c r="G1398" s="4" t="s">
        <v>813</v>
      </c>
      <c r="H1398" s="4" t="s">
        <v>1024</v>
      </c>
      <c r="I1398" s="4" t="s">
        <v>2130</v>
      </c>
      <c r="J1398" s="4" t="s">
        <v>1683</v>
      </c>
      <c r="K1398" s="5">
        <v>32256</v>
      </c>
      <c r="L1398" s="4" t="s">
        <v>4338</v>
      </c>
      <c r="M1398" s="4" t="s">
        <v>9</v>
      </c>
      <c r="N1398" s="5">
        <v>42670</v>
      </c>
      <c r="O1398" s="5" t="s">
        <v>2224</v>
      </c>
      <c r="P1398" s="4" t="s">
        <v>2224</v>
      </c>
      <c r="Q1398" s="4" t="s">
        <v>4339</v>
      </c>
      <c r="R1398" s="4" t="s">
        <v>2226</v>
      </c>
      <c r="S1398" s="4" t="s">
        <v>2227</v>
      </c>
      <c r="T1398" s="4" t="s">
        <v>2228</v>
      </c>
      <c r="U1398" s="4" t="s">
        <v>2237</v>
      </c>
      <c r="V1398" s="4" t="s">
        <v>8</v>
      </c>
      <c r="W1398" s="4" t="s">
        <v>2278</v>
      </c>
      <c r="X1398" s="4" t="s">
        <v>2224</v>
      </c>
      <c r="Y1398" s="4" t="s">
        <v>2239</v>
      </c>
      <c r="Z1398" s="6">
        <v>15883.16</v>
      </c>
      <c r="AA1398" s="6">
        <v>190597.92</v>
      </c>
      <c r="AB1398" s="4" t="s">
        <v>2224</v>
      </c>
      <c r="AC1398" s="7" t="s">
        <v>2244</v>
      </c>
    </row>
    <row r="1399" spans="1:29" ht="15" customHeight="1" collapsed="1" thickBot="1" x14ac:dyDescent="0.3">
      <c r="A1399" s="20" t="str">
        <f>CONCATENATE("962"," - ","MR", " ","Alexander"," ", "Williams")</f>
        <v>962 - MR Alexander Williams</v>
      </c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2"/>
    </row>
    <row r="1400" spans="1:29" ht="15" hidden="1" customHeight="1" outlineLevel="1" thickBot="1" x14ac:dyDescent="0.3">
      <c r="A1400" s="4" t="s">
        <v>4340</v>
      </c>
      <c r="B1400" s="4" t="s">
        <v>730</v>
      </c>
      <c r="C1400" s="4" t="s">
        <v>2220</v>
      </c>
      <c r="D1400" s="5">
        <v>42962.462500000001</v>
      </c>
      <c r="E1400" s="4" t="s">
        <v>2221</v>
      </c>
      <c r="F1400" s="4" t="s">
        <v>2222</v>
      </c>
      <c r="G1400" s="4" t="s">
        <v>2014</v>
      </c>
      <c r="H1400" s="4" t="s">
        <v>742</v>
      </c>
      <c r="I1400" s="4" t="s">
        <v>1585</v>
      </c>
      <c r="J1400" s="4" t="s">
        <v>927</v>
      </c>
      <c r="K1400" s="5">
        <v>27704</v>
      </c>
      <c r="L1400" s="4" t="s">
        <v>4341</v>
      </c>
      <c r="M1400" s="4" t="s">
        <v>9</v>
      </c>
      <c r="N1400" s="5">
        <v>42675</v>
      </c>
      <c r="O1400" s="5" t="s">
        <v>2224</v>
      </c>
      <c r="P1400" s="4" t="s">
        <v>2224</v>
      </c>
      <c r="Q1400" s="4" t="s">
        <v>4342</v>
      </c>
      <c r="R1400" s="4" t="s">
        <v>2226</v>
      </c>
      <c r="S1400" s="4" t="s">
        <v>2227</v>
      </c>
      <c r="T1400" s="4" t="s">
        <v>2228</v>
      </c>
      <c r="U1400" s="4" t="s">
        <v>2248</v>
      </c>
      <c r="V1400" s="4" t="s">
        <v>593</v>
      </c>
      <c r="W1400" s="4" t="s">
        <v>2249</v>
      </c>
      <c r="X1400" s="4" t="s">
        <v>2224</v>
      </c>
      <c r="Y1400" s="4" t="s">
        <v>4343</v>
      </c>
      <c r="Z1400" s="6">
        <v>42000</v>
      </c>
      <c r="AA1400" s="6">
        <v>504000</v>
      </c>
      <c r="AB1400" s="4" t="s">
        <v>2224</v>
      </c>
      <c r="AC1400" s="7" t="s">
        <v>2244</v>
      </c>
    </row>
    <row r="1401" spans="1:29" ht="15" customHeight="1" collapsed="1" thickBot="1" x14ac:dyDescent="0.3">
      <c r="A1401" s="20" t="str">
        <f>CONCATENATE("964"," - ","MS", " ","Thembeka"," ", "Vilakazi")</f>
        <v>964 - MS Thembeka Vilakazi</v>
      </c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2"/>
    </row>
    <row r="1402" spans="1:29" ht="15" hidden="1" customHeight="1" outlineLevel="1" thickBot="1" x14ac:dyDescent="0.3">
      <c r="A1402" s="4" t="s">
        <v>4344</v>
      </c>
      <c r="B1402" s="4" t="s">
        <v>732</v>
      </c>
      <c r="C1402" s="4" t="s">
        <v>2220</v>
      </c>
      <c r="D1402" s="5">
        <v>42962.461805555555</v>
      </c>
      <c r="E1402" s="4" t="s">
        <v>2221</v>
      </c>
      <c r="F1402" s="4" t="s">
        <v>2222</v>
      </c>
      <c r="G1402" s="4" t="s">
        <v>813</v>
      </c>
      <c r="H1402" s="4" t="s">
        <v>819</v>
      </c>
      <c r="I1402" s="4" t="s">
        <v>2120</v>
      </c>
      <c r="J1402" s="4" t="s">
        <v>2119</v>
      </c>
      <c r="K1402" s="5">
        <v>34753</v>
      </c>
      <c r="L1402" s="4" t="s">
        <v>4345</v>
      </c>
      <c r="M1402" s="4" t="s">
        <v>9</v>
      </c>
      <c r="N1402" s="5">
        <v>42675</v>
      </c>
      <c r="O1402" s="5" t="s">
        <v>2224</v>
      </c>
      <c r="P1402" s="4" t="s">
        <v>2224</v>
      </c>
      <c r="Q1402" s="4" t="s">
        <v>4346</v>
      </c>
      <c r="R1402" s="4" t="s">
        <v>2226</v>
      </c>
      <c r="S1402" s="4" t="s">
        <v>2227</v>
      </c>
      <c r="T1402" s="4" t="s">
        <v>2228</v>
      </c>
      <c r="U1402" s="4" t="s">
        <v>2229</v>
      </c>
      <c r="V1402" s="4" t="s">
        <v>25</v>
      </c>
      <c r="W1402" s="4" t="s">
        <v>2278</v>
      </c>
      <c r="X1402" s="4" t="s">
        <v>2224</v>
      </c>
      <c r="Y1402" s="4" t="s">
        <v>2384</v>
      </c>
      <c r="Z1402" s="6">
        <v>10577.93</v>
      </c>
      <c r="AA1402" s="6">
        <v>126935.16</v>
      </c>
      <c r="AB1402" s="4" t="s">
        <v>2224</v>
      </c>
      <c r="AC1402" s="7" t="s">
        <v>2244</v>
      </c>
    </row>
    <row r="1403" spans="1:29" ht="15" customHeight="1" collapsed="1" thickBot="1" x14ac:dyDescent="0.3">
      <c r="A1403" s="20" t="str">
        <f>CONCATENATE("97"," - ","MISS", " ","Dorothy"," ", "Chuene")</f>
        <v>97 - MISS Dorothy Chuene</v>
      </c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2"/>
    </row>
    <row r="1404" spans="1:29" ht="15" hidden="1" customHeight="1" outlineLevel="1" thickBot="1" x14ac:dyDescent="0.3">
      <c r="A1404" s="4" t="s">
        <v>4347</v>
      </c>
      <c r="B1404" s="4" t="s">
        <v>339</v>
      </c>
      <c r="C1404" s="4" t="s">
        <v>2220</v>
      </c>
      <c r="D1404" s="5">
        <v>42962.549999999996</v>
      </c>
      <c r="E1404" s="4" t="s">
        <v>2221</v>
      </c>
      <c r="F1404" s="4" t="s">
        <v>2222</v>
      </c>
      <c r="G1404" s="4" t="s">
        <v>2234</v>
      </c>
      <c r="H1404" s="4" t="s">
        <v>819</v>
      </c>
      <c r="I1404" s="4" t="s">
        <v>1418</v>
      </c>
      <c r="J1404" s="4" t="s">
        <v>1417</v>
      </c>
      <c r="K1404" s="5">
        <v>26636</v>
      </c>
      <c r="L1404" s="4" t="s">
        <v>4348</v>
      </c>
      <c r="M1404" s="4" t="s">
        <v>9</v>
      </c>
      <c r="N1404" s="5">
        <v>41281</v>
      </c>
      <c r="O1404" s="5" t="s">
        <v>2224</v>
      </c>
      <c r="P1404" s="4" t="s">
        <v>2224</v>
      </c>
      <c r="Q1404" s="4" t="s">
        <v>2552</v>
      </c>
      <c r="R1404" s="4" t="s">
        <v>2226</v>
      </c>
      <c r="S1404" s="4" t="s">
        <v>2227</v>
      </c>
      <c r="T1404" s="4" t="s">
        <v>2228</v>
      </c>
      <c r="U1404" s="4" t="s">
        <v>2237</v>
      </c>
      <c r="V1404" s="4" t="s">
        <v>125</v>
      </c>
      <c r="W1404" s="4" t="s">
        <v>2230</v>
      </c>
      <c r="X1404" s="4" t="s">
        <v>2224</v>
      </c>
      <c r="Y1404" s="4" t="s">
        <v>2239</v>
      </c>
      <c r="Z1404" s="6">
        <v>20392</v>
      </c>
      <c r="AA1404" s="6">
        <v>244704</v>
      </c>
      <c r="AB1404" s="4" t="s">
        <v>2232</v>
      </c>
      <c r="AC1404" s="7" t="s">
        <v>2224</v>
      </c>
    </row>
    <row r="1405" spans="1:29" ht="15" customHeight="1" collapsed="1" thickBot="1" x14ac:dyDescent="0.3">
      <c r="A1405" s="20" t="str">
        <f>CONCATENATE("98"," - ","MR", " ","Zamikhaya"," ", "Ciyana")</f>
        <v>98 - MR Zamikhaya Ciyana</v>
      </c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2"/>
    </row>
    <row r="1406" spans="1:29" ht="15" hidden="1" customHeight="1" outlineLevel="1" thickBot="1" x14ac:dyDescent="0.3">
      <c r="A1406" s="4" t="s">
        <v>4349</v>
      </c>
      <c r="B1406" s="4" t="s">
        <v>573</v>
      </c>
      <c r="C1406" s="4" t="s">
        <v>2220</v>
      </c>
      <c r="D1406" s="5">
        <v>42962.461111111108</v>
      </c>
      <c r="E1406" s="4" t="s">
        <v>2221</v>
      </c>
      <c r="F1406" s="4" t="s">
        <v>2222</v>
      </c>
      <c r="G1406" s="4" t="s">
        <v>2014</v>
      </c>
      <c r="H1406" s="4" t="s">
        <v>934</v>
      </c>
      <c r="I1406" s="4" t="s">
        <v>1867</v>
      </c>
      <c r="J1406" s="4" t="s">
        <v>1866</v>
      </c>
      <c r="K1406" s="5">
        <v>30091</v>
      </c>
      <c r="L1406" s="4" t="s">
        <v>4350</v>
      </c>
      <c r="M1406" s="4" t="s">
        <v>9</v>
      </c>
      <c r="N1406" s="5">
        <v>42135</v>
      </c>
      <c r="O1406" s="5" t="s">
        <v>2224</v>
      </c>
      <c r="P1406" s="4" t="s">
        <v>2224</v>
      </c>
      <c r="Q1406" s="4" t="s">
        <v>4351</v>
      </c>
      <c r="R1406" s="4" t="s">
        <v>2226</v>
      </c>
      <c r="S1406" s="4" t="s">
        <v>2227</v>
      </c>
      <c r="T1406" s="4" t="s">
        <v>2228</v>
      </c>
      <c r="U1406" s="4" t="s">
        <v>2229</v>
      </c>
      <c r="V1406" s="4" t="s">
        <v>25</v>
      </c>
      <c r="W1406" s="4" t="s">
        <v>2278</v>
      </c>
      <c r="X1406" s="4" t="s">
        <v>2224</v>
      </c>
      <c r="Y1406" s="4" t="s">
        <v>2380</v>
      </c>
      <c r="Z1406" s="6">
        <v>10710.1538</v>
      </c>
      <c r="AA1406" s="6">
        <v>128521.85</v>
      </c>
      <c r="AB1406" s="4" t="s">
        <v>2232</v>
      </c>
      <c r="AC1406" s="7" t="s">
        <v>2224</v>
      </c>
    </row>
    <row r="1407" spans="1:29" ht="15" customHeight="1" collapsed="1" thickBot="1" x14ac:dyDescent="0.3">
      <c r="A1407" s="20" t="str">
        <f>CONCATENATE("993"," - ","MS", " ","Lillian"," ", "Barnard")</f>
        <v>993 - MS Lillian Barnard</v>
      </c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2"/>
    </row>
    <row r="1408" spans="1:29" ht="15" hidden="1" customHeight="1" outlineLevel="1" thickBot="1" x14ac:dyDescent="0.3">
      <c r="A1408" s="4" t="s">
        <v>4352</v>
      </c>
      <c r="B1408" s="4" t="s">
        <v>2138</v>
      </c>
      <c r="C1408" s="4" t="s">
        <v>2220</v>
      </c>
      <c r="D1408" s="5">
        <v>42955.426388888889</v>
      </c>
      <c r="E1408" s="4" t="s">
        <v>2221</v>
      </c>
      <c r="F1408" s="4" t="s">
        <v>2222</v>
      </c>
      <c r="G1408" s="4" t="s">
        <v>813</v>
      </c>
      <c r="H1408" s="4" t="s">
        <v>826</v>
      </c>
      <c r="I1408" s="4" t="s">
        <v>2139</v>
      </c>
      <c r="J1408" s="4" t="s">
        <v>897</v>
      </c>
      <c r="K1408" s="5">
        <v>26348</v>
      </c>
      <c r="L1408" s="4" t="s">
        <v>4353</v>
      </c>
      <c r="M1408" s="4" t="s">
        <v>9</v>
      </c>
      <c r="N1408" s="5">
        <v>42675</v>
      </c>
      <c r="O1408" s="5">
        <v>42947</v>
      </c>
      <c r="P1408" s="4" t="s">
        <v>2242</v>
      </c>
      <c r="Q1408" s="4" t="s">
        <v>4354</v>
      </c>
      <c r="R1408" s="4" t="s">
        <v>2224</v>
      </c>
      <c r="S1408" s="4" t="s">
        <v>4355</v>
      </c>
      <c r="T1408" s="4" t="s">
        <v>2228</v>
      </c>
      <c r="U1408" s="4" t="s">
        <v>2243</v>
      </c>
      <c r="V1408" s="4" t="s">
        <v>2136</v>
      </c>
      <c r="W1408" s="4" t="s">
        <v>2224</v>
      </c>
      <c r="X1408" s="4" t="s">
        <v>2224</v>
      </c>
      <c r="Y1408" s="4" t="s">
        <v>2224</v>
      </c>
      <c r="Z1408" s="6" t="s">
        <v>2224</v>
      </c>
      <c r="AA1408" s="6" t="s">
        <v>2224</v>
      </c>
      <c r="AB1408" s="4" t="s">
        <v>2224</v>
      </c>
      <c r="AC1408" s="7" t="s">
        <v>4189</v>
      </c>
    </row>
    <row r="1409" spans="1:29" ht="15" customHeight="1" collapsed="1" thickBot="1" x14ac:dyDescent="0.3">
      <c r="A1409" s="20" t="str">
        <f>CONCATENATE("997"," - ","MR", " ","George"," ", "Motlhlale")</f>
        <v>997 - MR George Motlhlale</v>
      </c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2"/>
    </row>
    <row r="1410" spans="1:29" ht="15" hidden="1" customHeight="1" outlineLevel="1" thickBot="1" x14ac:dyDescent="0.3">
      <c r="A1410" s="4" t="s">
        <v>4356</v>
      </c>
      <c r="B1410" s="4" t="s">
        <v>739</v>
      </c>
      <c r="C1410" s="4" t="s">
        <v>2220</v>
      </c>
      <c r="D1410" s="5">
        <v>42962.462500000001</v>
      </c>
      <c r="E1410" s="4" t="s">
        <v>2221</v>
      </c>
      <c r="F1410" s="4" t="s">
        <v>2222</v>
      </c>
      <c r="G1410" s="4" t="s">
        <v>2014</v>
      </c>
      <c r="H1410" s="4" t="s">
        <v>1162</v>
      </c>
      <c r="I1410" s="4" t="s">
        <v>2133</v>
      </c>
      <c r="J1410" s="4" t="s">
        <v>2132</v>
      </c>
      <c r="K1410" s="5">
        <v>28701</v>
      </c>
      <c r="L1410" s="4" t="s">
        <v>4357</v>
      </c>
      <c r="M1410" s="4" t="s">
        <v>9</v>
      </c>
      <c r="N1410" s="5">
        <v>42705</v>
      </c>
      <c r="O1410" s="5" t="s">
        <v>2224</v>
      </c>
      <c r="P1410" s="4" t="s">
        <v>2224</v>
      </c>
      <c r="Q1410" s="4" t="s">
        <v>4358</v>
      </c>
      <c r="R1410" s="4" t="s">
        <v>2226</v>
      </c>
      <c r="S1410" s="4" t="s">
        <v>2227</v>
      </c>
      <c r="T1410" s="4" t="s">
        <v>2228</v>
      </c>
      <c r="U1410" s="4" t="s">
        <v>2248</v>
      </c>
      <c r="V1410" s="4" t="s">
        <v>593</v>
      </c>
      <c r="W1410" s="4" t="s">
        <v>2249</v>
      </c>
      <c r="X1410" s="4" t="s">
        <v>2224</v>
      </c>
      <c r="Y1410" s="4" t="s">
        <v>4343</v>
      </c>
      <c r="Z1410" s="6">
        <v>42000</v>
      </c>
      <c r="AA1410" s="6">
        <v>504000</v>
      </c>
      <c r="AB1410" s="4" t="s">
        <v>2224</v>
      </c>
      <c r="AC1410" s="7" t="s">
        <v>2244</v>
      </c>
    </row>
    <row r="1411" spans="1:29" ht="15" customHeight="1" collapsed="1" thickBot="1" x14ac:dyDescent="0.3">
      <c r="A1411" s="20" t="str">
        <f>CONCATENATE("998"," - ","MR", " ","Peter"," ", "Matjila")</f>
        <v>998 - MR Peter Matjila</v>
      </c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2"/>
    </row>
    <row r="1412" spans="1:29" ht="15" hidden="1" customHeight="1" outlineLevel="1" thickBot="1" x14ac:dyDescent="0.3">
      <c r="A1412" s="4" t="s">
        <v>4359</v>
      </c>
      <c r="B1412" s="4" t="s">
        <v>740</v>
      </c>
      <c r="C1412" s="4" t="s">
        <v>2220</v>
      </c>
      <c r="D1412" s="5">
        <v>42950.45</v>
      </c>
      <c r="E1412" s="4" t="s">
        <v>2221</v>
      </c>
      <c r="F1412" s="4" t="s">
        <v>2222</v>
      </c>
      <c r="G1412" s="4" t="s">
        <v>2014</v>
      </c>
      <c r="H1412" s="4" t="s">
        <v>2075</v>
      </c>
      <c r="I1412" s="4" t="s">
        <v>786</v>
      </c>
      <c r="J1412" s="4" t="s">
        <v>2134</v>
      </c>
      <c r="K1412" s="5">
        <v>29891</v>
      </c>
      <c r="L1412" s="4" t="s">
        <v>4360</v>
      </c>
      <c r="M1412" s="4" t="s">
        <v>9</v>
      </c>
      <c r="N1412" s="5">
        <v>42705</v>
      </c>
      <c r="O1412" s="5" t="s">
        <v>2224</v>
      </c>
      <c r="P1412" s="4" t="s">
        <v>2224</v>
      </c>
      <c r="Q1412" s="4" t="s">
        <v>2224</v>
      </c>
      <c r="R1412" s="4" t="s">
        <v>2226</v>
      </c>
      <c r="S1412" s="4" t="s">
        <v>2227</v>
      </c>
      <c r="T1412" s="4" t="s">
        <v>2228</v>
      </c>
      <c r="U1412" s="4" t="s">
        <v>2248</v>
      </c>
      <c r="V1412" s="4" t="s">
        <v>288</v>
      </c>
      <c r="W1412" s="4" t="s">
        <v>2249</v>
      </c>
      <c r="X1412" s="4" t="s">
        <v>2224</v>
      </c>
      <c r="Y1412" s="4" t="s">
        <v>2254</v>
      </c>
      <c r="Z1412" s="6">
        <v>55587</v>
      </c>
      <c r="AA1412" s="6">
        <v>667044</v>
      </c>
      <c r="AB1412" s="4" t="s">
        <v>2224</v>
      </c>
      <c r="AC1412" s="7" t="s">
        <v>2244</v>
      </c>
    </row>
    <row r="1413" spans="1:29" ht="15" customHeight="1" collapsed="1" x14ac:dyDescent="0.25">
      <c r="A1413" s="20" t="str">
        <f>CONCATENATE("999"," - ","MR", " ","Challey"," ", "Dlamini")</f>
        <v>999 - MR Challey Dlamini</v>
      </c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2"/>
    </row>
    <row r="1414" spans="1:29" ht="15" hidden="1" customHeight="1" outlineLevel="1" x14ac:dyDescent="0.25">
      <c r="A1414" s="4" t="s">
        <v>4361</v>
      </c>
      <c r="B1414" s="4" t="s">
        <v>741</v>
      </c>
      <c r="C1414" s="4" t="s">
        <v>2220</v>
      </c>
      <c r="D1414" s="5">
        <v>42962.461805555555</v>
      </c>
      <c r="E1414" s="4" t="s">
        <v>2221</v>
      </c>
      <c r="F1414" s="4" t="s">
        <v>2222</v>
      </c>
      <c r="G1414" s="4" t="s">
        <v>2014</v>
      </c>
      <c r="H1414" s="4" t="s">
        <v>1182</v>
      </c>
      <c r="I1414" s="4" t="s">
        <v>2141</v>
      </c>
      <c r="J1414" s="4" t="s">
        <v>2140</v>
      </c>
      <c r="K1414" s="5">
        <v>30408</v>
      </c>
      <c r="L1414" s="4" t="s">
        <v>4362</v>
      </c>
      <c r="M1414" s="4" t="s">
        <v>9</v>
      </c>
      <c r="N1414" s="5">
        <v>42705</v>
      </c>
      <c r="O1414" s="5" t="s">
        <v>2224</v>
      </c>
      <c r="P1414" s="4" t="s">
        <v>2224</v>
      </c>
      <c r="Q1414" s="4" t="s">
        <v>4363</v>
      </c>
      <c r="R1414" s="4" t="s">
        <v>2226</v>
      </c>
      <c r="S1414" s="4" t="s">
        <v>2227</v>
      </c>
      <c r="T1414" s="4" t="s">
        <v>2228</v>
      </c>
      <c r="U1414" s="4" t="s">
        <v>2229</v>
      </c>
      <c r="V1414" s="4" t="s">
        <v>25</v>
      </c>
      <c r="W1414" s="4" t="s">
        <v>2278</v>
      </c>
      <c r="X1414" s="4" t="s">
        <v>2224</v>
      </c>
      <c r="Y1414" s="4" t="s">
        <v>2449</v>
      </c>
      <c r="Z1414" s="6">
        <v>10577.93</v>
      </c>
      <c r="AA1414" s="6">
        <v>126935.16</v>
      </c>
      <c r="AB1414" s="4" t="s">
        <v>2224</v>
      </c>
      <c r="AC1414" s="7" t="s">
        <v>2244</v>
      </c>
    </row>
    <row r="1415" spans="1:29" collapsed="1" x14ac:dyDescent="0.25">
      <c r="A1415" s="8">
        <f ca="1">TODAY()</f>
        <v>42989</v>
      </c>
    </row>
  </sheetData>
  <mergeCells count="706">
    <mergeCell ref="A1407:AC1407"/>
    <mergeCell ref="A1409:AC1409"/>
    <mergeCell ref="A1411:AC1411"/>
    <mergeCell ref="A1413:AC1413"/>
    <mergeCell ref="A1395:AC1395"/>
    <mergeCell ref="A1397:AC1397"/>
    <mergeCell ref="A1399:AC1399"/>
    <mergeCell ref="A1401:AC1401"/>
    <mergeCell ref="A1403:AC1403"/>
    <mergeCell ref="A1405:AC1405"/>
    <mergeCell ref="A1383:AC1383"/>
    <mergeCell ref="A1385:AC1385"/>
    <mergeCell ref="A1387:AC1387"/>
    <mergeCell ref="A1389:AC1389"/>
    <mergeCell ref="A1391:AC1391"/>
    <mergeCell ref="A1393:AC1393"/>
    <mergeCell ref="A1371:AC1371"/>
    <mergeCell ref="A1373:AC1373"/>
    <mergeCell ref="A1375:AC1375"/>
    <mergeCell ref="A1377:AC1377"/>
    <mergeCell ref="A1379:AC1379"/>
    <mergeCell ref="A1381:AC1381"/>
    <mergeCell ref="A1359:AC1359"/>
    <mergeCell ref="A1361:AC1361"/>
    <mergeCell ref="A1363:AC1363"/>
    <mergeCell ref="A1365:AC1365"/>
    <mergeCell ref="A1367:AC1367"/>
    <mergeCell ref="A1369:AC1369"/>
    <mergeCell ref="A1347:AC1347"/>
    <mergeCell ref="A1349:AC1349"/>
    <mergeCell ref="A1351:AC1351"/>
    <mergeCell ref="A1353:AC1353"/>
    <mergeCell ref="A1355:AC1355"/>
    <mergeCell ref="A1357:AC1357"/>
    <mergeCell ref="A1335:AC1335"/>
    <mergeCell ref="A1337:AC1337"/>
    <mergeCell ref="A1339:AC1339"/>
    <mergeCell ref="A1341:AC1341"/>
    <mergeCell ref="A1343:AC1343"/>
    <mergeCell ref="A1345:AC1345"/>
    <mergeCell ref="A1323:AC1323"/>
    <mergeCell ref="A1325:AC1325"/>
    <mergeCell ref="A1327:AC1327"/>
    <mergeCell ref="A1329:AC1329"/>
    <mergeCell ref="A1331:AC1331"/>
    <mergeCell ref="A1333:AC1333"/>
    <mergeCell ref="A1311:AC1311"/>
    <mergeCell ref="A1313:AC1313"/>
    <mergeCell ref="A1315:AC1315"/>
    <mergeCell ref="A1317:AC1317"/>
    <mergeCell ref="A1319:AC1319"/>
    <mergeCell ref="A1321:AC1321"/>
    <mergeCell ref="A1299:AC1299"/>
    <mergeCell ref="A1301:AC1301"/>
    <mergeCell ref="A1303:AC1303"/>
    <mergeCell ref="A1305:AC1305"/>
    <mergeCell ref="A1307:AC1307"/>
    <mergeCell ref="A1309:AC1309"/>
    <mergeCell ref="A1287:AC1287"/>
    <mergeCell ref="A1289:AC1289"/>
    <mergeCell ref="A1291:AC1291"/>
    <mergeCell ref="A1293:AC1293"/>
    <mergeCell ref="A1295:AC1295"/>
    <mergeCell ref="A1297:AC1297"/>
    <mergeCell ref="A1275:AC1275"/>
    <mergeCell ref="A1277:AC1277"/>
    <mergeCell ref="A1279:AC1279"/>
    <mergeCell ref="A1281:AC1281"/>
    <mergeCell ref="A1283:AC1283"/>
    <mergeCell ref="A1285:AC1285"/>
    <mergeCell ref="A1263:AC1263"/>
    <mergeCell ref="A1265:AC1265"/>
    <mergeCell ref="A1267:AC1267"/>
    <mergeCell ref="A1269:AC1269"/>
    <mergeCell ref="A1271:AC1271"/>
    <mergeCell ref="A1273:AC1273"/>
    <mergeCell ref="A1251:AC1251"/>
    <mergeCell ref="A1253:AC1253"/>
    <mergeCell ref="A1255:AC1255"/>
    <mergeCell ref="A1257:AC1257"/>
    <mergeCell ref="A1259:AC1259"/>
    <mergeCell ref="A1261:AC1261"/>
    <mergeCell ref="A1239:AC1239"/>
    <mergeCell ref="A1241:AC1241"/>
    <mergeCell ref="A1243:AC1243"/>
    <mergeCell ref="A1245:AC1245"/>
    <mergeCell ref="A1247:AC1247"/>
    <mergeCell ref="A1249:AC1249"/>
    <mergeCell ref="A1227:AC1227"/>
    <mergeCell ref="A1229:AC1229"/>
    <mergeCell ref="A1231:AC1231"/>
    <mergeCell ref="A1233:AC1233"/>
    <mergeCell ref="A1235:AC1235"/>
    <mergeCell ref="A1237:AC1237"/>
    <mergeCell ref="A1215:AC1215"/>
    <mergeCell ref="A1217:AC1217"/>
    <mergeCell ref="A1219:AC1219"/>
    <mergeCell ref="A1221:AC1221"/>
    <mergeCell ref="A1223:AC1223"/>
    <mergeCell ref="A1225:AC1225"/>
    <mergeCell ref="A1203:AC1203"/>
    <mergeCell ref="A1205:AC1205"/>
    <mergeCell ref="A1207:AC1207"/>
    <mergeCell ref="A1209:AC1209"/>
    <mergeCell ref="A1211:AC1211"/>
    <mergeCell ref="A1213:AC1213"/>
    <mergeCell ref="A1191:AC1191"/>
    <mergeCell ref="A1193:AC1193"/>
    <mergeCell ref="A1195:AC1195"/>
    <mergeCell ref="A1197:AC1197"/>
    <mergeCell ref="A1199:AC1199"/>
    <mergeCell ref="A1201:AC1201"/>
    <mergeCell ref="A1179:AC1179"/>
    <mergeCell ref="A1181:AC1181"/>
    <mergeCell ref="A1183:AC1183"/>
    <mergeCell ref="A1185:AC1185"/>
    <mergeCell ref="A1187:AC1187"/>
    <mergeCell ref="A1189:AC1189"/>
    <mergeCell ref="A1167:AC1167"/>
    <mergeCell ref="A1169:AC1169"/>
    <mergeCell ref="A1171:AC1171"/>
    <mergeCell ref="A1173:AC1173"/>
    <mergeCell ref="A1175:AC1175"/>
    <mergeCell ref="A1177:AC1177"/>
    <mergeCell ref="A1155:AC1155"/>
    <mergeCell ref="A1157:AC1157"/>
    <mergeCell ref="A1159:AC1159"/>
    <mergeCell ref="A1161:AC1161"/>
    <mergeCell ref="A1163:AC1163"/>
    <mergeCell ref="A1165:AC1165"/>
    <mergeCell ref="A1143:AC1143"/>
    <mergeCell ref="A1145:AC1145"/>
    <mergeCell ref="A1147:AC1147"/>
    <mergeCell ref="A1149:AC1149"/>
    <mergeCell ref="A1151:AC1151"/>
    <mergeCell ref="A1153:AC1153"/>
    <mergeCell ref="A1131:AC1131"/>
    <mergeCell ref="A1133:AC1133"/>
    <mergeCell ref="A1135:AC1135"/>
    <mergeCell ref="A1137:AC1137"/>
    <mergeCell ref="A1139:AC1139"/>
    <mergeCell ref="A1141:AC1141"/>
    <mergeCell ref="A1119:AC1119"/>
    <mergeCell ref="A1121:AC1121"/>
    <mergeCell ref="A1123:AC1123"/>
    <mergeCell ref="A1125:AC1125"/>
    <mergeCell ref="A1127:AC1127"/>
    <mergeCell ref="A1129:AC1129"/>
    <mergeCell ref="A1107:AC1107"/>
    <mergeCell ref="A1109:AC1109"/>
    <mergeCell ref="A1111:AC1111"/>
    <mergeCell ref="A1113:AC1113"/>
    <mergeCell ref="A1115:AC1115"/>
    <mergeCell ref="A1117:AC1117"/>
    <mergeCell ref="A1095:AC1095"/>
    <mergeCell ref="A1097:AC1097"/>
    <mergeCell ref="A1099:AC1099"/>
    <mergeCell ref="A1101:AC1101"/>
    <mergeCell ref="A1103:AC1103"/>
    <mergeCell ref="A1105:AC1105"/>
    <mergeCell ref="A1083:AC1083"/>
    <mergeCell ref="A1085:AC1085"/>
    <mergeCell ref="A1087:AC1087"/>
    <mergeCell ref="A1089:AC1089"/>
    <mergeCell ref="A1091:AC1091"/>
    <mergeCell ref="A1093:AC1093"/>
    <mergeCell ref="A1071:AC1071"/>
    <mergeCell ref="A1073:AC1073"/>
    <mergeCell ref="A1075:AC1075"/>
    <mergeCell ref="A1077:AC1077"/>
    <mergeCell ref="A1079:AC1079"/>
    <mergeCell ref="A1081:AC1081"/>
    <mergeCell ref="A1059:AC1059"/>
    <mergeCell ref="A1061:AC1061"/>
    <mergeCell ref="A1063:AC1063"/>
    <mergeCell ref="A1065:AC1065"/>
    <mergeCell ref="A1067:AC1067"/>
    <mergeCell ref="A1069:AC1069"/>
    <mergeCell ref="A1047:AC1047"/>
    <mergeCell ref="A1049:AC1049"/>
    <mergeCell ref="A1051:AC1051"/>
    <mergeCell ref="A1053:AC1053"/>
    <mergeCell ref="A1055:AC1055"/>
    <mergeCell ref="A1057:AC1057"/>
    <mergeCell ref="A1035:AC1035"/>
    <mergeCell ref="A1037:AC1037"/>
    <mergeCell ref="A1039:AC1039"/>
    <mergeCell ref="A1041:AC1041"/>
    <mergeCell ref="A1043:AC1043"/>
    <mergeCell ref="A1045:AC1045"/>
    <mergeCell ref="A1023:AC1023"/>
    <mergeCell ref="A1025:AC1025"/>
    <mergeCell ref="A1027:AC1027"/>
    <mergeCell ref="A1029:AC1029"/>
    <mergeCell ref="A1031:AC1031"/>
    <mergeCell ref="A1033:AC1033"/>
    <mergeCell ref="A1011:AC1011"/>
    <mergeCell ref="A1013:AC1013"/>
    <mergeCell ref="A1015:AC1015"/>
    <mergeCell ref="A1017:AC1017"/>
    <mergeCell ref="A1019:AC1019"/>
    <mergeCell ref="A1021:AC1021"/>
    <mergeCell ref="A999:AC999"/>
    <mergeCell ref="A1001:AC1001"/>
    <mergeCell ref="A1003:AC1003"/>
    <mergeCell ref="A1005:AC1005"/>
    <mergeCell ref="A1007:AC1007"/>
    <mergeCell ref="A1009:AC1009"/>
    <mergeCell ref="A987:AC987"/>
    <mergeCell ref="A989:AC989"/>
    <mergeCell ref="A991:AC991"/>
    <mergeCell ref="A993:AC993"/>
    <mergeCell ref="A995:AC995"/>
    <mergeCell ref="A997:AC997"/>
    <mergeCell ref="A975:AC975"/>
    <mergeCell ref="A977:AC977"/>
    <mergeCell ref="A979:AC979"/>
    <mergeCell ref="A981:AC981"/>
    <mergeCell ref="A983:AC983"/>
    <mergeCell ref="A985:AC985"/>
    <mergeCell ref="A963:AC963"/>
    <mergeCell ref="A965:AC965"/>
    <mergeCell ref="A967:AC967"/>
    <mergeCell ref="A969:AC969"/>
    <mergeCell ref="A971:AC971"/>
    <mergeCell ref="A973:AC973"/>
    <mergeCell ref="A951:AC951"/>
    <mergeCell ref="A953:AC953"/>
    <mergeCell ref="A955:AC955"/>
    <mergeCell ref="A957:AC957"/>
    <mergeCell ref="A959:AC959"/>
    <mergeCell ref="A961:AC961"/>
    <mergeCell ref="A939:AC939"/>
    <mergeCell ref="A941:AC941"/>
    <mergeCell ref="A943:AC943"/>
    <mergeCell ref="A945:AC945"/>
    <mergeCell ref="A947:AC947"/>
    <mergeCell ref="A949:AC949"/>
    <mergeCell ref="A927:AC927"/>
    <mergeCell ref="A929:AC929"/>
    <mergeCell ref="A931:AC931"/>
    <mergeCell ref="A933:AC933"/>
    <mergeCell ref="A935:AC935"/>
    <mergeCell ref="A937:AC937"/>
    <mergeCell ref="A915:AC915"/>
    <mergeCell ref="A917:AC917"/>
    <mergeCell ref="A919:AC919"/>
    <mergeCell ref="A921:AC921"/>
    <mergeCell ref="A923:AC923"/>
    <mergeCell ref="A925:AC925"/>
    <mergeCell ref="A903:AC903"/>
    <mergeCell ref="A905:AC905"/>
    <mergeCell ref="A907:AC907"/>
    <mergeCell ref="A909:AC909"/>
    <mergeCell ref="A911:AC911"/>
    <mergeCell ref="A913:AC913"/>
    <mergeCell ref="A891:AC891"/>
    <mergeCell ref="A893:AC893"/>
    <mergeCell ref="A895:AC895"/>
    <mergeCell ref="A897:AC897"/>
    <mergeCell ref="A899:AC899"/>
    <mergeCell ref="A901:AC901"/>
    <mergeCell ref="A879:AC879"/>
    <mergeCell ref="A881:AC881"/>
    <mergeCell ref="A883:AC883"/>
    <mergeCell ref="A885:AC885"/>
    <mergeCell ref="A887:AC887"/>
    <mergeCell ref="A889:AC889"/>
    <mergeCell ref="A867:AC867"/>
    <mergeCell ref="A869:AC869"/>
    <mergeCell ref="A871:AC871"/>
    <mergeCell ref="A873:AC873"/>
    <mergeCell ref="A875:AC875"/>
    <mergeCell ref="A877:AC877"/>
    <mergeCell ref="A855:AC855"/>
    <mergeCell ref="A857:AC857"/>
    <mergeCell ref="A859:AC859"/>
    <mergeCell ref="A861:AC861"/>
    <mergeCell ref="A863:AC863"/>
    <mergeCell ref="A865:AC865"/>
    <mergeCell ref="A843:AC843"/>
    <mergeCell ref="A845:AC845"/>
    <mergeCell ref="A847:AC847"/>
    <mergeCell ref="A849:AC849"/>
    <mergeCell ref="A851:AC851"/>
    <mergeCell ref="A853:AC853"/>
    <mergeCell ref="A831:AC831"/>
    <mergeCell ref="A833:AC833"/>
    <mergeCell ref="A835:AC835"/>
    <mergeCell ref="A837:AC837"/>
    <mergeCell ref="A839:AC839"/>
    <mergeCell ref="A841:AC841"/>
    <mergeCell ref="A819:AC819"/>
    <mergeCell ref="A821:AC821"/>
    <mergeCell ref="A823:AC823"/>
    <mergeCell ref="A825:AC825"/>
    <mergeCell ref="A827:AC827"/>
    <mergeCell ref="A829:AC829"/>
    <mergeCell ref="A807:AC807"/>
    <mergeCell ref="A809:AC809"/>
    <mergeCell ref="A811:AC811"/>
    <mergeCell ref="A813:AC813"/>
    <mergeCell ref="A815:AC815"/>
    <mergeCell ref="A817:AC817"/>
    <mergeCell ref="A795:AC795"/>
    <mergeCell ref="A797:AC797"/>
    <mergeCell ref="A799:AC799"/>
    <mergeCell ref="A801:AC801"/>
    <mergeCell ref="A803:AC803"/>
    <mergeCell ref="A805:AC805"/>
    <mergeCell ref="A783:AC783"/>
    <mergeCell ref="A785:AC785"/>
    <mergeCell ref="A787:AC787"/>
    <mergeCell ref="A789:AC789"/>
    <mergeCell ref="A791:AC791"/>
    <mergeCell ref="A793:AC793"/>
    <mergeCell ref="A771:AC771"/>
    <mergeCell ref="A773:AC773"/>
    <mergeCell ref="A775:AC775"/>
    <mergeCell ref="A777:AC777"/>
    <mergeCell ref="A779:AC779"/>
    <mergeCell ref="A781:AC781"/>
    <mergeCell ref="A759:AC759"/>
    <mergeCell ref="A761:AC761"/>
    <mergeCell ref="A763:AC763"/>
    <mergeCell ref="A765:AC765"/>
    <mergeCell ref="A767:AC767"/>
    <mergeCell ref="A769:AC769"/>
    <mergeCell ref="A747:AC747"/>
    <mergeCell ref="A749:AC749"/>
    <mergeCell ref="A751:AC751"/>
    <mergeCell ref="A753:AC753"/>
    <mergeCell ref="A755:AC755"/>
    <mergeCell ref="A757:AC757"/>
    <mergeCell ref="A735:AC735"/>
    <mergeCell ref="A737:AC737"/>
    <mergeCell ref="A739:AC739"/>
    <mergeCell ref="A741:AC741"/>
    <mergeCell ref="A743:AC743"/>
    <mergeCell ref="A745:AC745"/>
    <mergeCell ref="A723:AC723"/>
    <mergeCell ref="A725:AC725"/>
    <mergeCell ref="A727:AC727"/>
    <mergeCell ref="A729:AC729"/>
    <mergeCell ref="A731:AC731"/>
    <mergeCell ref="A733:AC733"/>
    <mergeCell ref="A711:AC711"/>
    <mergeCell ref="A713:AC713"/>
    <mergeCell ref="A715:AC715"/>
    <mergeCell ref="A717:AC717"/>
    <mergeCell ref="A719:AC719"/>
    <mergeCell ref="A721:AC721"/>
    <mergeCell ref="A699:AC699"/>
    <mergeCell ref="A701:AC701"/>
    <mergeCell ref="A703:AC703"/>
    <mergeCell ref="A705:AC705"/>
    <mergeCell ref="A707:AC707"/>
    <mergeCell ref="A709:AC709"/>
    <mergeCell ref="A687:AC687"/>
    <mergeCell ref="A689:AC689"/>
    <mergeCell ref="A691:AC691"/>
    <mergeCell ref="A693:AC693"/>
    <mergeCell ref="A695:AC695"/>
    <mergeCell ref="A697:AC697"/>
    <mergeCell ref="A675:AC675"/>
    <mergeCell ref="A677:AC677"/>
    <mergeCell ref="A679:AC679"/>
    <mergeCell ref="A681:AC681"/>
    <mergeCell ref="A683:AC683"/>
    <mergeCell ref="A685:AC685"/>
    <mergeCell ref="A663:AC663"/>
    <mergeCell ref="A665:AC665"/>
    <mergeCell ref="A667:AC667"/>
    <mergeCell ref="A669:AC669"/>
    <mergeCell ref="A671:AC671"/>
    <mergeCell ref="A673:AC673"/>
    <mergeCell ref="A651:AC651"/>
    <mergeCell ref="A653:AC653"/>
    <mergeCell ref="A655:AC655"/>
    <mergeCell ref="A657:AC657"/>
    <mergeCell ref="A659:AC659"/>
    <mergeCell ref="A661:AC661"/>
    <mergeCell ref="A639:AC639"/>
    <mergeCell ref="A641:AC641"/>
    <mergeCell ref="A643:AC643"/>
    <mergeCell ref="A645:AC645"/>
    <mergeCell ref="A647:AC647"/>
    <mergeCell ref="A649:AC649"/>
    <mergeCell ref="A627:AC627"/>
    <mergeCell ref="A629:AC629"/>
    <mergeCell ref="A631:AC631"/>
    <mergeCell ref="A633:AC633"/>
    <mergeCell ref="A635:AC635"/>
    <mergeCell ref="A637:AC637"/>
    <mergeCell ref="A615:AC615"/>
    <mergeCell ref="A617:AC617"/>
    <mergeCell ref="A619:AC619"/>
    <mergeCell ref="A621:AC621"/>
    <mergeCell ref="A623:AC623"/>
    <mergeCell ref="A625:AC625"/>
    <mergeCell ref="A603:AC603"/>
    <mergeCell ref="A605:AC605"/>
    <mergeCell ref="A607:AC607"/>
    <mergeCell ref="A609:AC609"/>
    <mergeCell ref="A611:AC611"/>
    <mergeCell ref="A613:AC613"/>
    <mergeCell ref="A591:AC591"/>
    <mergeCell ref="A593:AC593"/>
    <mergeCell ref="A595:AC595"/>
    <mergeCell ref="A597:AC597"/>
    <mergeCell ref="A599:AC599"/>
    <mergeCell ref="A601:AC601"/>
    <mergeCell ref="A579:AC579"/>
    <mergeCell ref="A581:AC581"/>
    <mergeCell ref="A583:AC583"/>
    <mergeCell ref="A585:AC585"/>
    <mergeCell ref="A587:AC587"/>
    <mergeCell ref="A589:AC589"/>
    <mergeCell ref="A567:AC567"/>
    <mergeCell ref="A569:AC569"/>
    <mergeCell ref="A571:AC571"/>
    <mergeCell ref="A573:AC573"/>
    <mergeCell ref="A575:AC575"/>
    <mergeCell ref="A577:AC577"/>
    <mergeCell ref="A555:AC555"/>
    <mergeCell ref="A557:AC557"/>
    <mergeCell ref="A559:AC559"/>
    <mergeCell ref="A561:AC561"/>
    <mergeCell ref="A563:AC563"/>
    <mergeCell ref="A565:AC565"/>
    <mergeCell ref="A543:AC543"/>
    <mergeCell ref="A545:AC545"/>
    <mergeCell ref="A547:AC547"/>
    <mergeCell ref="A549:AC549"/>
    <mergeCell ref="A551:AC551"/>
    <mergeCell ref="A553:AC553"/>
    <mergeCell ref="A531:AC531"/>
    <mergeCell ref="A533:AC533"/>
    <mergeCell ref="A535:AC535"/>
    <mergeCell ref="A537:AC537"/>
    <mergeCell ref="A539:AC539"/>
    <mergeCell ref="A541:AC541"/>
    <mergeCell ref="A519:AC519"/>
    <mergeCell ref="A521:AC521"/>
    <mergeCell ref="A523:AC523"/>
    <mergeCell ref="A525:AC525"/>
    <mergeCell ref="A527:AC527"/>
    <mergeCell ref="A529:AC529"/>
    <mergeCell ref="A507:AC507"/>
    <mergeCell ref="A509:AC509"/>
    <mergeCell ref="A511:AC511"/>
    <mergeCell ref="A513:AC513"/>
    <mergeCell ref="A515:AC515"/>
    <mergeCell ref="A517:AC517"/>
    <mergeCell ref="A495:AC495"/>
    <mergeCell ref="A497:AC497"/>
    <mergeCell ref="A499:AC499"/>
    <mergeCell ref="A501:AC501"/>
    <mergeCell ref="A503:AC503"/>
    <mergeCell ref="A505:AC505"/>
    <mergeCell ref="A483:AC483"/>
    <mergeCell ref="A485:AC485"/>
    <mergeCell ref="A487:AC487"/>
    <mergeCell ref="A489:AC489"/>
    <mergeCell ref="A491:AC491"/>
    <mergeCell ref="A493:AC493"/>
    <mergeCell ref="A471:AC471"/>
    <mergeCell ref="A473:AC473"/>
    <mergeCell ref="A475:AC475"/>
    <mergeCell ref="A477:AC477"/>
    <mergeCell ref="A479:AC479"/>
    <mergeCell ref="A481:AC481"/>
    <mergeCell ref="A459:AC459"/>
    <mergeCell ref="A461:AC461"/>
    <mergeCell ref="A463:AC463"/>
    <mergeCell ref="A465:AC465"/>
    <mergeCell ref="A467:AC467"/>
    <mergeCell ref="A469:AC469"/>
    <mergeCell ref="A447:AC447"/>
    <mergeCell ref="A449:AC449"/>
    <mergeCell ref="A451:AC451"/>
    <mergeCell ref="A453:AC453"/>
    <mergeCell ref="A455:AC455"/>
    <mergeCell ref="A457:AC457"/>
    <mergeCell ref="A435:AC435"/>
    <mergeCell ref="A437:AC437"/>
    <mergeCell ref="A439:AC439"/>
    <mergeCell ref="A441:AC441"/>
    <mergeCell ref="A443:AC443"/>
    <mergeCell ref="A445:AC445"/>
    <mergeCell ref="A423:AC423"/>
    <mergeCell ref="A425:AC425"/>
    <mergeCell ref="A427:AC427"/>
    <mergeCell ref="A429:AC429"/>
    <mergeCell ref="A431:AC431"/>
    <mergeCell ref="A433:AC433"/>
    <mergeCell ref="A411:AC411"/>
    <mergeCell ref="A413:AC413"/>
    <mergeCell ref="A415:AC415"/>
    <mergeCell ref="A417:AC417"/>
    <mergeCell ref="A419:AC419"/>
    <mergeCell ref="A421:AC421"/>
    <mergeCell ref="A399:AC399"/>
    <mergeCell ref="A401:AC401"/>
    <mergeCell ref="A403:AC403"/>
    <mergeCell ref="A405:AC405"/>
    <mergeCell ref="A407:AC407"/>
    <mergeCell ref="A409:AC409"/>
    <mergeCell ref="A387:AC387"/>
    <mergeCell ref="A389:AC389"/>
    <mergeCell ref="A391:AC391"/>
    <mergeCell ref="A393:AC393"/>
    <mergeCell ref="A395:AC395"/>
    <mergeCell ref="A397:AC397"/>
    <mergeCell ref="A375:AC375"/>
    <mergeCell ref="A377:AC377"/>
    <mergeCell ref="A379:AC379"/>
    <mergeCell ref="A381:AC381"/>
    <mergeCell ref="A383:AC383"/>
    <mergeCell ref="A385:AC385"/>
    <mergeCell ref="A363:AC363"/>
    <mergeCell ref="A365:AC365"/>
    <mergeCell ref="A367:AC367"/>
    <mergeCell ref="A369:AC369"/>
    <mergeCell ref="A371:AC371"/>
    <mergeCell ref="A373:AC373"/>
    <mergeCell ref="A351:AC351"/>
    <mergeCell ref="A353:AC353"/>
    <mergeCell ref="A355:AC355"/>
    <mergeCell ref="A357:AC357"/>
    <mergeCell ref="A359:AC359"/>
    <mergeCell ref="A361:AC361"/>
    <mergeCell ref="A339:AC339"/>
    <mergeCell ref="A341:AC341"/>
    <mergeCell ref="A343:AC343"/>
    <mergeCell ref="A345:AC345"/>
    <mergeCell ref="A347:AC347"/>
    <mergeCell ref="A349:AC349"/>
    <mergeCell ref="A327:AC327"/>
    <mergeCell ref="A329:AC329"/>
    <mergeCell ref="A331:AC331"/>
    <mergeCell ref="A333:AC333"/>
    <mergeCell ref="A335:AC335"/>
    <mergeCell ref="A337:AC337"/>
    <mergeCell ref="A315:AC315"/>
    <mergeCell ref="A317:AC317"/>
    <mergeCell ref="A319:AC319"/>
    <mergeCell ref="A321:AC321"/>
    <mergeCell ref="A323:AC323"/>
    <mergeCell ref="A325:AC325"/>
    <mergeCell ref="A303:AC303"/>
    <mergeCell ref="A305:AC305"/>
    <mergeCell ref="A307:AC307"/>
    <mergeCell ref="A309:AC309"/>
    <mergeCell ref="A311:AC311"/>
    <mergeCell ref="A313:AC313"/>
    <mergeCell ref="A291:AC291"/>
    <mergeCell ref="A293:AC293"/>
    <mergeCell ref="A295:AC295"/>
    <mergeCell ref="A297:AC297"/>
    <mergeCell ref="A299:AC299"/>
    <mergeCell ref="A301:AC301"/>
    <mergeCell ref="A279:AC279"/>
    <mergeCell ref="A281:AC281"/>
    <mergeCell ref="A283:AC283"/>
    <mergeCell ref="A285:AC285"/>
    <mergeCell ref="A287:AC287"/>
    <mergeCell ref="A289:AC289"/>
    <mergeCell ref="A267:AC267"/>
    <mergeCell ref="A269:AC269"/>
    <mergeCell ref="A271:AC271"/>
    <mergeCell ref="A273:AC273"/>
    <mergeCell ref="A275:AC275"/>
    <mergeCell ref="A277:AC277"/>
    <mergeCell ref="A255:AC255"/>
    <mergeCell ref="A257:AC257"/>
    <mergeCell ref="A259:AC259"/>
    <mergeCell ref="A261:AC261"/>
    <mergeCell ref="A263:AC263"/>
    <mergeCell ref="A265:AC265"/>
    <mergeCell ref="A243:AC243"/>
    <mergeCell ref="A245:AC245"/>
    <mergeCell ref="A247:AC247"/>
    <mergeCell ref="A249:AC249"/>
    <mergeCell ref="A251:AC251"/>
    <mergeCell ref="A253:AC253"/>
    <mergeCell ref="A231:AC231"/>
    <mergeCell ref="A233:AC233"/>
    <mergeCell ref="A235:AC235"/>
    <mergeCell ref="A237:AC237"/>
    <mergeCell ref="A239:AC239"/>
    <mergeCell ref="A241:AC241"/>
    <mergeCell ref="A219:AC219"/>
    <mergeCell ref="A221:AC221"/>
    <mergeCell ref="A223:AC223"/>
    <mergeCell ref="A225:AC225"/>
    <mergeCell ref="A227:AC227"/>
    <mergeCell ref="A229:AC229"/>
    <mergeCell ref="A207:AC207"/>
    <mergeCell ref="A209:AC209"/>
    <mergeCell ref="A211:AC211"/>
    <mergeCell ref="A213:AC213"/>
    <mergeCell ref="A215:AC215"/>
    <mergeCell ref="A217:AC217"/>
    <mergeCell ref="A195:AC195"/>
    <mergeCell ref="A197:AC197"/>
    <mergeCell ref="A199:AC199"/>
    <mergeCell ref="A201:AC201"/>
    <mergeCell ref="A203:AC203"/>
    <mergeCell ref="A205:AC205"/>
    <mergeCell ref="A183:AC183"/>
    <mergeCell ref="A185:AC185"/>
    <mergeCell ref="A187:AC187"/>
    <mergeCell ref="A189:AC189"/>
    <mergeCell ref="A191:AC191"/>
    <mergeCell ref="A193:AC193"/>
    <mergeCell ref="A171:AC171"/>
    <mergeCell ref="A173:AC173"/>
    <mergeCell ref="A175:AC175"/>
    <mergeCell ref="A177:AC177"/>
    <mergeCell ref="A179:AC179"/>
    <mergeCell ref="A181:AC181"/>
    <mergeCell ref="A159:AC159"/>
    <mergeCell ref="A161:AC161"/>
    <mergeCell ref="A163:AC163"/>
    <mergeCell ref="A165:AC165"/>
    <mergeCell ref="A167:AC167"/>
    <mergeCell ref="A169:AC169"/>
    <mergeCell ref="A147:AC147"/>
    <mergeCell ref="A149:AC149"/>
    <mergeCell ref="A151:AC151"/>
    <mergeCell ref="A153:AC153"/>
    <mergeCell ref="A155:AC155"/>
    <mergeCell ref="A157:AC157"/>
    <mergeCell ref="A135:AC135"/>
    <mergeCell ref="A137:AC137"/>
    <mergeCell ref="A139:AC139"/>
    <mergeCell ref="A141:AC141"/>
    <mergeCell ref="A143:AC143"/>
    <mergeCell ref="A145:AC145"/>
    <mergeCell ref="A123:AC123"/>
    <mergeCell ref="A125:AC125"/>
    <mergeCell ref="A127:AC127"/>
    <mergeCell ref="A129:AC129"/>
    <mergeCell ref="A131:AC131"/>
    <mergeCell ref="A133:AC133"/>
    <mergeCell ref="A111:AC111"/>
    <mergeCell ref="A113:AC113"/>
    <mergeCell ref="A115:AC115"/>
    <mergeCell ref="A117:AC117"/>
    <mergeCell ref="A119:AC119"/>
    <mergeCell ref="A121:AC121"/>
    <mergeCell ref="A99:AC99"/>
    <mergeCell ref="A101:AC101"/>
    <mergeCell ref="A103:AC103"/>
    <mergeCell ref="A105:AC105"/>
    <mergeCell ref="A107:AC107"/>
    <mergeCell ref="A109:AC109"/>
    <mergeCell ref="A87:AC87"/>
    <mergeCell ref="A89:AC89"/>
    <mergeCell ref="A91:AC91"/>
    <mergeCell ref="A93:AC93"/>
    <mergeCell ref="A95:AC95"/>
    <mergeCell ref="A97:AC97"/>
    <mergeCell ref="A75:AC75"/>
    <mergeCell ref="A77:AC77"/>
    <mergeCell ref="A79:AC79"/>
    <mergeCell ref="A81:AC81"/>
    <mergeCell ref="A83:AC83"/>
    <mergeCell ref="A85:AC85"/>
    <mergeCell ref="A63:AC63"/>
    <mergeCell ref="A65:AC65"/>
    <mergeCell ref="A67:AC67"/>
    <mergeCell ref="A69:AC69"/>
    <mergeCell ref="A71:AC71"/>
    <mergeCell ref="A73:AC73"/>
    <mergeCell ref="A51:AC51"/>
    <mergeCell ref="A53:AC53"/>
    <mergeCell ref="A55:AC55"/>
    <mergeCell ref="A57:AC57"/>
    <mergeCell ref="A59:AC59"/>
    <mergeCell ref="A61:AC61"/>
    <mergeCell ref="A39:AC39"/>
    <mergeCell ref="A41:AC41"/>
    <mergeCell ref="A43:AC43"/>
    <mergeCell ref="A45:AC45"/>
    <mergeCell ref="A47:AC47"/>
    <mergeCell ref="A49:AC49"/>
    <mergeCell ref="A27:AC27"/>
    <mergeCell ref="A29:AC29"/>
    <mergeCell ref="A31:AC31"/>
    <mergeCell ref="A33:AC33"/>
    <mergeCell ref="A35:AC35"/>
    <mergeCell ref="A37:AC37"/>
    <mergeCell ref="A15:AC15"/>
    <mergeCell ref="A17:AC17"/>
    <mergeCell ref="A19:AC19"/>
    <mergeCell ref="A21:AC21"/>
    <mergeCell ref="A23:AC23"/>
    <mergeCell ref="A25:AC25"/>
    <mergeCell ref="A1:C5"/>
    <mergeCell ref="D1:P5"/>
    <mergeCell ref="A7:AC7"/>
    <mergeCell ref="A9:AC9"/>
    <mergeCell ref="A11:AC11"/>
    <mergeCell ref="A13:A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31"/>
  <sheetViews>
    <sheetView tabSelected="1" workbookViewId="0">
      <pane ySplit="1" topLeftCell="A2" activePane="bottomLeft" state="frozen"/>
      <selection pane="bottomLeft" activeCell="A6" sqref="A6"/>
    </sheetView>
  </sheetViews>
  <sheetFormatPr defaultColWidth="8.85546875" defaultRowHeight="11.25" x14ac:dyDescent="0.2"/>
  <cols>
    <col min="1" max="1" width="28.7109375" style="9" bestFit="1" customWidth="1"/>
    <col min="2" max="2" width="8.85546875" style="12"/>
    <col min="3" max="16384" width="8.85546875" style="9"/>
  </cols>
  <sheetData>
    <row r="1" spans="1:2" ht="15" customHeight="1" x14ac:dyDescent="0.2">
      <c r="A1" s="11" t="s">
        <v>3</v>
      </c>
      <c r="B1" s="11" t="s">
        <v>2199</v>
      </c>
    </row>
    <row r="2" spans="1:2" ht="15" customHeight="1" x14ac:dyDescent="0.2">
      <c r="A2" s="10" t="s">
        <v>598</v>
      </c>
      <c r="B2" s="17">
        <v>7</v>
      </c>
    </row>
    <row r="3" spans="1:2" ht="15" customHeight="1" x14ac:dyDescent="0.2">
      <c r="A3" s="10" t="s">
        <v>358</v>
      </c>
      <c r="B3" s="18">
        <v>1</v>
      </c>
    </row>
    <row r="4" spans="1:2" ht="15" customHeight="1" x14ac:dyDescent="0.2">
      <c r="A4" s="10" t="s">
        <v>595</v>
      </c>
      <c r="B4" s="18">
        <v>1</v>
      </c>
    </row>
    <row r="5" spans="1:2" ht="15" customHeight="1" x14ac:dyDescent="0.2">
      <c r="A5" s="10" t="s">
        <v>559</v>
      </c>
      <c r="B5" s="18">
        <v>1</v>
      </c>
    </row>
    <row r="6" spans="1:2" ht="15" customHeight="1" x14ac:dyDescent="0.2">
      <c r="A6" s="10" t="s">
        <v>262</v>
      </c>
      <c r="B6" s="18">
        <v>3</v>
      </c>
    </row>
    <row r="7" spans="1:2" ht="15" customHeight="1" x14ac:dyDescent="0.2">
      <c r="A7" s="10" t="s">
        <v>334</v>
      </c>
      <c r="B7" s="18">
        <v>1</v>
      </c>
    </row>
    <row r="8" spans="1:2" ht="15" customHeight="1" x14ac:dyDescent="0.2">
      <c r="A8" s="10" t="s">
        <v>753</v>
      </c>
      <c r="B8" s="18">
        <v>2</v>
      </c>
    </row>
    <row r="9" spans="1:2" ht="15" customHeight="1" x14ac:dyDescent="0.2">
      <c r="A9" s="10" t="s">
        <v>299</v>
      </c>
      <c r="B9" s="18">
        <v>4</v>
      </c>
    </row>
    <row r="10" spans="1:2" ht="15" customHeight="1" x14ac:dyDescent="0.2">
      <c r="A10" s="10" t="s">
        <v>346</v>
      </c>
      <c r="B10" s="18">
        <v>2</v>
      </c>
    </row>
    <row r="11" spans="1:2" ht="15" customHeight="1" x14ac:dyDescent="0.2">
      <c r="A11" s="10" t="s">
        <v>15</v>
      </c>
      <c r="B11" s="18">
        <v>1</v>
      </c>
    </row>
    <row r="12" spans="1:2" ht="15" customHeight="1" x14ac:dyDescent="0.2">
      <c r="A12" s="10" t="s">
        <v>122</v>
      </c>
      <c r="B12" s="18">
        <v>5</v>
      </c>
    </row>
    <row r="13" spans="1:2" ht="15" customHeight="1" x14ac:dyDescent="0.2">
      <c r="A13" s="10" t="s">
        <v>284</v>
      </c>
      <c r="B13" s="18">
        <v>1</v>
      </c>
    </row>
    <row r="14" spans="1:2" ht="15" customHeight="1" x14ac:dyDescent="0.2">
      <c r="A14" s="10" t="s">
        <v>191</v>
      </c>
      <c r="B14" s="18">
        <v>4</v>
      </c>
    </row>
    <row r="15" spans="1:2" ht="15" customHeight="1" x14ac:dyDescent="0.2">
      <c r="A15" s="10" t="s">
        <v>27</v>
      </c>
      <c r="B15" s="18">
        <v>2</v>
      </c>
    </row>
    <row r="16" spans="1:2" ht="15" customHeight="1" x14ac:dyDescent="0.2">
      <c r="A16" s="10" t="s">
        <v>634</v>
      </c>
      <c r="B16" s="18">
        <v>2</v>
      </c>
    </row>
    <row r="17" spans="1:2" ht="15" customHeight="1" x14ac:dyDescent="0.2">
      <c r="A17" s="10" t="s">
        <v>130</v>
      </c>
      <c r="B17" s="18">
        <v>3</v>
      </c>
    </row>
    <row r="18" spans="1:2" ht="15" customHeight="1" x14ac:dyDescent="0.2">
      <c r="A18" s="10" t="s">
        <v>100</v>
      </c>
      <c r="B18" s="18">
        <v>3</v>
      </c>
    </row>
    <row r="19" spans="1:2" ht="15" customHeight="1" x14ac:dyDescent="0.2">
      <c r="A19" s="10" t="s">
        <v>108</v>
      </c>
      <c r="B19" s="18">
        <v>1</v>
      </c>
    </row>
    <row r="20" spans="1:2" ht="15" customHeight="1" x14ac:dyDescent="0.2">
      <c r="A20" s="10" t="s">
        <v>252</v>
      </c>
      <c r="B20" s="18">
        <v>6</v>
      </c>
    </row>
    <row r="21" spans="1:2" ht="15" customHeight="1" x14ac:dyDescent="0.2">
      <c r="A21" s="10" t="s">
        <v>132</v>
      </c>
      <c r="B21" s="18">
        <v>1</v>
      </c>
    </row>
    <row r="22" spans="1:2" ht="15" customHeight="1" x14ac:dyDescent="0.2">
      <c r="A22" s="10" t="s">
        <v>413</v>
      </c>
      <c r="B22" s="18">
        <v>1</v>
      </c>
    </row>
    <row r="23" spans="1:2" ht="15" customHeight="1" x14ac:dyDescent="0.2">
      <c r="A23" s="10" t="s">
        <v>25</v>
      </c>
      <c r="B23" s="18">
        <v>10</v>
      </c>
    </row>
    <row r="24" spans="1:2" ht="15" customHeight="1" x14ac:dyDescent="0.2">
      <c r="A24" s="10" t="s">
        <v>17</v>
      </c>
      <c r="B24" s="18">
        <v>1</v>
      </c>
    </row>
    <row r="25" spans="1:2" ht="15" customHeight="1" x14ac:dyDescent="0.2">
      <c r="A25" s="10" t="s">
        <v>237</v>
      </c>
      <c r="B25" s="18">
        <v>1</v>
      </c>
    </row>
    <row r="26" spans="1:2" ht="15" customHeight="1" x14ac:dyDescent="0.2">
      <c r="A26" s="10" t="s">
        <v>49</v>
      </c>
      <c r="B26" s="18">
        <v>1</v>
      </c>
    </row>
    <row r="27" spans="1:2" ht="15" customHeight="1" x14ac:dyDescent="0.2">
      <c r="A27" s="10" t="s">
        <v>120</v>
      </c>
      <c r="B27" s="18">
        <v>1</v>
      </c>
    </row>
    <row r="28" spans="1:2" ht="15" customHeight="1" x14ac:dyDescent="0.2">
      <c r="A28" s="10" t="s">
        <v>134</v>
      </c>
      <c r="B28" s="18">
        <v>1</v>
      </c>
    </row>
    <row r="29" spans="1:2" ht="15" customHeight="1" x14ac:dyDescent="0.2">
      <c r="A29" s="10" t="s">
        <v>553</v>
      </c>
      <c r="B29" s="18">
        <v>1</v>
      </c>
    </row>
    <row r="30" spans="1:2" ht="15" customHeight="1" x14ac:dyDescent="0.2">
      <c r="A30" s="10" t="s">
        <v>11</v>
      </c>
      <c r="B30" s="18">
        <v>1</v>
      </c>
    </row>
    <row r="31" spans="1:2" ht="15" customHeight="1" x14ac:dyDescent="0.2">
      <c r="A31" s="10" t="s">
        <v>468</v>
      </c>
      <c r="B31" s="18">
        <v>1</v>
      </c>
    </row>
    <row r="32" spans="1:2" ht="15" customHeight="1" x14ac:dyDescent="0.2">
      <c r="A32" s="10" t="s">
        <v>505</v>
      </c>
      <c r="B32" s="18">
        <v>1</v>
      </c>
    </row>
    <row r="33" spans="1:2" ht="15" customHeight="1" x14ac:dyDescent="0.2">
      <c r="A33" s="10" t="s">
        <v>53</v>
      </c>
      <c r="B33" s="18">
        <v>1</v>
      </c>
    </row>
    <row r="34" spans="1:2" ht="15" customHeight="1" x14ac:dyDescent="0.2">
      <c r="A34" s="10" t="s">
        <v>114</v>
      </c>
      <c r="B34" s="18">
        <v>1</v>
      </c>
    </row>
    <row r="35" spans="1:2" ht="15" customHeight="1" x14ac:dyDescent="0.2">
      <c r="A35" s="10" t="s">
        <v>39</v>
      </c>
      <c r="B35" s="18">
        <v>1</v>
      </c>
    </row>
    <row r="36" spans="1:2" ht="15" customHeight="1" x14ac:dyDescent="0.2">
      <c r="A36" s="10" t="s">
        <v>185</v>
      </c>
      <c r="B36" s="18">
        <v>3</v>
      </c>
    </row>
    <row r="37" spans="1:2" ht="15" customHeight="1" x14ac:dyDescent="0.2">
      <c r="A37" s="10" t="s">
        <v>710</v>
      </c>
      <c r="B37" s="18">
        <v>1</v>
      </c>
    </row>
    <row r="38" spans="1:2" ht="15" customHeight="1" x14ac:dyDescent="0.2">
      <c r="A38" s="10" t="s">
        <v>755</v>
      </c>
      <c r="B38" s="18">
        <v>1</v>
      </c>
    </row>
    <row r="39" spans="1:2" ht="15" customHeight="1" x14ac:dyDescent="0.2">
      <c r="A39" s="10" t="s">
        <v>2770</v>
      </c>
      <c r="B39" s="18">
        <v>1</v>
      </c>
    </row>
    <row r="40" spans="1:2" ht="15" customHeight="1" x14ac:dyDescent="0.2">
      <c r="A40" s="10" t="s">
        <v>593</v>
      </c>
      <c r="B40" s="18">
        <v>2</v>
      </c>
    </row>
    <row r="41" spans="1:2" ht="15" customHeight="1" x14ac:dyDescent="0.2">
      <c r="A41" s="10" t="s">
        <v>240</v>
      </c>
      <c r="B41" s="18">
        <v>1</v>
      </c>
    </row>
    <row r="42" spans="1:2" ht="15" customHeight="1" x14ac:dyDescent="0.2">
      <c r="A42" s="10" t="s">
        <v>152</v>
      </c>
      <c r="B42" s="18">
        <v>1</v>
      </c>
    </row>
    <row r="43" spans="1:2" ht="15" customHeight="1" x14ac:dyDescent="0.2">
      <c r="A43" s="10" t="s">
        <v>220</v>
      </c>
      <c r="B43" s="18">
        <v>1</v>
      </c>
    </row>
    <row r="44" spans="1:2" ht="15" customHeight="1" x14ac:dyDescent="0.2">
      <c r="A44" s="10" t="s">
        <v>46</v>
      </c>
      <c r="B44" s="18">
        <v>2</v>
      </c>
    </row>
    <row r="45" spans="1:2" ht="15" customHeight="1" x14ac:dyDescent="0.2">
      <c r="A45" s="10" t="s">
        <v>19</v>
      </c>
      <c r="B45" s="18">
        <v>2</v>
      </c>
    </row>
    <row r="46" spans="1:2" ht="15" customHeight="1" x14ac:dyDescent="0.2">
      <c r="A46" s="10" t="s">
        <v>752</v>
      </c>
      <c r="B46" s="18">
        <v>1</v>
      </c>
    </row>
    <row r="47" spans="1:2" ht="15" customHeight="1" x14ac:dyDescent="0.2">
      <c r="A47" s="10" t="s">
        <v>181</v>
      </c>
      <c r="B47" s="18">
        <v>1</v>
      </c>
    </row>
    <row r="48" spans="1:2" ht="15" customHeight="1" x14ac:dyDescent="0.2">
      <c r="A48" s="10" t="s">
        <v>315</v>
      </c>
      <c r="B48" s="18">
        <v>2</v>
      </c>
    </row>
    <row r="49" spans="1:2" ht="15" customHeight="1" x14ac:dyDescent="0.2">
      <c r="A49" s="10" t="s">
        <v>279</v>
      </c>
      <c r="B49" s="18">
        <v>1</v>
      </c>
    </row>
    <row r="50" spans="1:2" ht="15" customHeight="1" x14ac:dyDescent="0.2">
      <c r="A50" s="10" t="s">
        <v>446</v>
      </c>
      <c r="B50" s="18">
        <v>1</v>
      </c>
    </row>
    <row r="51" spans="1:2" ht="15" customHeight="1" x14ac:dyDescent="0.2">
      <c r="A51" s="10" t="s">
        <v>147</v>
      </c>
      <c r="B51" s="18">
        <v>1</v>
      </c>
    </row>
    <row r="52" spans="1:2" ht="15" customHeight="1" x14ac:dyDescent="0.2">
      <c r="A52" s="10" t="s">
        <v>235</v>
      </c>
      <c r="B52" s="18">
        <v>1</v>
      </c>
    </row>
    <row r="53" spans="1:2" ht="15" customHeight="1" x14ac:dyDescent="0.2">
      <c r="A53" s="10" t="s">
        <v>297</v>
      </c>
      <c r="B53" s="18">
        <v>2</v>
      </c>
    </row>
    <row r="54" spans="1:2" ht="15" customHeight="1" x14ac:dyDescent="0.2">
      <c r="A54" s="10" t="s">
        <v>183</v>
      </c>
      <c r="B54" s="18">
        <v>1</v>
      </c>
    </row>
    <row r="55" spans="1:2" ht="15" customHeight="1" x14ac:dyDescent="0.2">
      <c r="A55" s="10" t="s">
        <v>118</v>
      </c>
      <c r="B55" s="18">
        <v>2</v>
      </c>
    </row>
    <row r="56" spans="1:2" ht="15" customHeight="1" x14ac:dyDescent="0.2">
      <c r="A56" s="10" t="s">
        <v>21</v>
      </c>
      <c r="B56" s="18">
        <v>1</v>
      </c>
    </row>
    <row r="57" spans="1:2" ht="15" customHeight="1" x14ac:dyDescent="0.2">
      <c r="A57" s="10" t="s">
        <v>187</v>
      </c>
      <c r="B57" s="18">
        <v>1</v>
      </c>
    </row>
    <row r="58" spans="1:2" ht="15" customHeight="1" x14ac:dyDescent="0.2">
      <c r="A58" s="10" t="s">
        <v>416</v>
      </c>
      <c r="B58" s="18">
        <v>4</v>
      </c>
    </row>
    <row r="59" spans="1:2" ht="15" customHeight="1" x14ac:dyDescent="0.2">
      <c r="A59" s="10" t="s">
        <v>467</v>
      </c>
      <c r="B59" s="18">
        <v>4</v>
      </c>
    </row>
    <row r="60" spans="1:2" ht="15" customHeight="1" x14ac:dyDescent="0.2">
      <c r="A60" s="10" t="s">
        <v>288</v>
      </c>
      <c r="B60" s="18">
        <v>2</v>
      </c>
    </row>
    <row r="61" spans="1:2" ht="15" customHeight="1" x14ac:dyDescent="0.2">
      <c r="A61" s="10" t="s">
        <v>51</v>
      </c>
      <c r="B61" s="18">
        <v>1</v>
      </c>
    </row>
    <row r="62" spans="1:2" ht="15" customHeight="1" x14ac:dyDescent="0.2">
      <c r="A62" s="10" t="s">
        <v>686</v>
      </c>
      <c r="B62" s="18">
        <v>1</v>
      </c>
    </row>
    <row r="63" spans="1:2" ht="15" customHeight="1" x14ac:dyDescent="0.2">
      <c r="A63" s="10" t="s">
        <v>32</v>
      </c>
      <c r="B63" s="18">
        <v>1</v>
      </c>
    </row>
    <row r="64" spans="1:2" ht="15" customHeight="1" x14ac:dyDescent="0.2">
      <c r="A64" s="10" t="s">
        <v>759</v>
      </c>
      <c r="B64" s="18">
        <v>2</v>
      </c>
    </row>
    <row r="65" spans="1:2" ht="15" customHeight="1" x14ac:dyDescent="0.2">
      <c r="A65" s="10" t="s">
        <v>277</v>
      </c>
      <c r="B65" s="18">
        <v>1</v>
      </c>
    </row>
    <row r="66" spans="1:2" ht="15" customHeight="1" x14ac:dyDescent="0.2">
      <c r="A66" s="10" t="s">
        <v>762</v>
      </c>
      <c r="B66" s="18">
        <v>1</v>
      </c>
    </row>
    <row r="67" spans="1:2" ht="15" customHeight="1" x14ac:dyDescent="0.2">
      <c r="A67" s="10" t="s">
        <v>8</v>
      </c>
      <c r="B67" s="18">
        <v>135</v>
      </c>
    </row>
    <row r="68" spans="1:2" ht="15" customHeight="1" x14ac:dyDescent="0.2">
      <c r="A68" s="10" t="s">
        <v>70</v>
      </c>
      <c r="B68" s="18">
        <v>3</v>
      </c>
    </row>
    <row r="69" spans="1:2" ht="15" customHeight="1" x14ac:dyDescent="0.2">
      <c r="A69" s="10" t="s">
        <v>4114</v>
      </c>
      <c r="B69" s="18">
        <v>1</v>
      </c>
    </row>
    <row r="70" spans="1:2" ht="15" customHeight="1" x14ac:dyDescent="0.2">
      <c r="A70" s="10" t="s">
        <v>125</v>
      </c>
      <c r="B70" s="18">
        <v>64</v>
      </c>
    </row>
    <row r="71" spans="1:2" ht="15" customHeight="1" x14ac:dyDescent="0.2">
      <c r="A71" s="10" t="s">
        <v>13</v>
      </c>
      <c r="B71" s="18">
        <v>45</v>
      </c>
    </row>
    <row r="72" spans="1:2" ht="15" customHeight="1" x14ac:dyDescent="0.2">
      <c r="A72" s="10" t="s">
        <v>55</v>
      </c>
      <c r="B72" s="18">
        <v>3</v>
      </c>
    </row>
    <row r="73" spans="1:2" ht="15" customHeight="1" x14ac:dyDescent="0.2">
      <c r="A73" s="10" t="s">
        <v>202</v>
      </c>
      <c r="B73" s="18">
        <v>1</v>
      </c>
    </row>
    <row r="74" spans="1:2" ht="15" customHeight="1" x14ac:dyDescent="0.2">
      <c r="A74" s="10" t="s">
        <v>257</v>
      </c>
      <c r="B74" s="18">
        <v>11</v>
      </c>
    </row>
    <row r="75" spans="1:2" ht="15" customHeight="1" x14ac:dyDescent="0.2">
      <c r="A75" s="10" t="s">
        <v>246</v>
      </c>
      <c r="B75" s="18">
        <v>36</v>
      </c>
    </row>
    <row r="76" spans="1:2" ht="15" customHeight="1" x14ac:dyDescent="0.2">
      <c r="A76" s="10" t="s">
        <v>198</v>
      </c>
      <c r="B76" s="18">
        <v>7</v>
      </c>
    </row>
    <row r="77" spans="1:2" ht="15" customHeight="1" x14ac:dyDescent="0.2">
      <c r="A77" s="10" t="s">
        <v>75</v>
      </c>
      <c r="B77" s="18">
        <v>6</v>
      </c>
    </row>
    <row r="78" spans="1:2" ht="15" customHeight="1" x14ac:dyDescent="0.2">
      <c r="A78" s="10" t="s">
        <v>25</v>
      </c>
      <c r="B78" s="18">
        <v>201</v>
      </c>
    </row>
    <row r="79" spans="1:2" ht="15" customHeight="1" x14ac:dyDescent="0.2">
      <c r="A79" s="10" t="s">
        <v>17</v>
      </c>
      <c r="B79" s="18">
        <v>35</v>
      </c>
    </row>
    <row r="80" spans="1:2" ht="15" customHeight="1" x14ac:dyDescent="0.2">
      <c r="A80" s="10" t="s">
        <v>68</v>
      </c>
      <c r="B80" s="12">
        <v>4</v>
      </c>
    </row>
    <row r="81" spans="1:2" ht="15" customHeight="1" x14ac:dyDescent="0.2">
      <c r="A81" s="16" t="s">
        <v>80</v>
      </c>
      <c r="B81" s="12">
        <v>1</v>
      </c>
    </row>
    <row r="82" spans="1:2" ht="15" customHeight="1" x14ac:dyDescent="0.2">
      <c r="A82" s="12" t="s">
        <v>116</v>
      </c>
      <c r="B82" s="14">
        <v>10</v>
      </c>
    </row>
    <row r="83" spans="1:2" ht="15" customHeight="1" x14ac:dyDescent="0.2">
      <c r="A83" s="12" t="s">
        <v>334</v>
      </c>
      <c r="B83" s="14">
        <v>1</v>
      </c>
    </row>
    <row r="84" spans="1:2" ht="15" customHeight="1" x14ac:dyDescent="0.2">
      <c r="A84" s="12" t="s">
        <v>4253</v>
      </c>
      <c r="B84" s="12">
        <v>2</v>
      </c>
    </row>
    <row r="85" spans="1:2" x14ac:dyDescent="0.2">
      <c r="A85" s="19" t="s">
        <v>4364</v>
      </c>
      <c r="B85" s="19">
        <f>SUM(B2:B84)</f>
        <v>687</v>
      </c>
    </row>
    <row r="86" spans="1:2" x14ac:dyDescent="0.2">
      <c r="B86" s="15"/>
    </row>
    <row r="87" spans="1:2" x14ac:dyDescent="0.2">
      <c r="B87" s="15"/>
    </row>
    <row r="88" spans="1:2" x14ac:dyDescent="0.2">
      <c r="B88" s="15"/>
    </row>
    <row r="89" spans="1:2" x14ac:dyDescent="0.2">
      <c r="B89" s="15"/>
    </row>
    <row r="90" spans="1:2" x14ac:dyDescent="0.2">
      <c r="B90" s="15"/>
    </row>
    <row r="91" spans="1:2" x14ac:dyDescent="0.2">
      <c r="B91" s="15"/>
    </row>
    <row r="92" spans="1:2" x14ac:dyDescent="0.2">
      <c r="B92" s="15"/>
    </row>
    <row r="93" spans="1:2" x14ac:dyDescent="0.2">
      <c r="B93" s="15"/>
    </row>
    <row r="94" spans="1:2" x14ac:dyDescent="0.2">
      <c r="B94" s="15"/>
    </row>
    <row r="95" spans="1:2" x14ac:dyDescent="0.2">
      <c r="B95" s="15"/>
    </row>
    <row r="96" spans="1:2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  <row r="122" spans="2:2" x14ac:dyDescent="0.2">
      <c r="B122" s="15"/>
    </row>
    <row r="123" spans="2:2" x14ac:dyDescent="0.2">
      <c r="B123" s="15"/>
    </row>
    <row r="124" spans="2:2" x14ac:dyDescent="0.2">
      <c r="B124" s="15"/>
    </row>
    <row r="125" spans="2:2" x14ac:dyDescent="0.2">
      <c r="B125" s="15"/>
    </row>
    <row r="126" spans="2:2" x14ac:dyDescent="0.2">
      <c r="B126" s="15"/>
    </row>
    <row r="127" spans="2:2" x14ac:dyDescent="0.2">
      <c r="B127" s="15"/>
    </row>
    <row r="128" spans="2:2" x14ac:dyDescent="0.2">
      <c r="B128" s="15"/>
    </row>
    <row r="129" spans="2:2" x14ac:dyDescent="0.2">
      <c r="B129" s="15"/>
    </row>
    <row r="130" spans="2:2" x14ac:dyDescent="0.2">
      <c r="B130" s="15"/>
    </row>
    <row r="131" spans="2:2" x14ac:dyDescent="0.2">
      <c r="B131" s="15"/>
    </row>
    <row r="132" spans="2:2" x14ac:dyDescent="0.2">
      <c r="B132" s="15"/>
    </row>
    <row r="133" spans="2:2" x14ac:dyDescent="0.2">
      <c r="B133" s="15"/>
    </row>
    <row r="134" spans="2:2" x14ac:dyDescent="0.2">
      <c r="B134" s="15"/>
    </row>
    <row r="135" spans="2:2" x14ac:dyDescent="0.2">
      <c r="B135" s="15"/>
    </row>
    <row r="136" spans="2:2" x14ac:dyDescent="0.2">
      <c r="B136" s="15"/>
    </row>
    <row r="137" spans="2:2" x14ac:dyDescent="0.2">
      <c r="B137" s="15"/>
    </row>
    <row r="138" spans="2:2" x14ac:dyDescent="0.2">
      <c r="B138" s="15"/>
    </row>
    <row r="139" spans="2:2" x14ac:dyDescent="0.2">
      <c r="B139" s="15"/>
    </row>
    <row r="140" spans="2:2" x14ac:dyDescent="0.2">
      <c r="B140" s="15"/>
    </row>
    <row r="141" spans="2:2" x14ac:dyDescent="0.2">
      <c r="B141" s="15"/>
    </row>
    <row r="142" spans="2:2" x14ac:dyDescent="0.2">
      <c r="B142" s="15"/>
    </row>
    <row r="143" spans="2:2" x14ac:dyDescent="0.2">
      <c r="B143" s="15"/>
    </row>
    <row r="144" spans="2:2" x14ac:dyDescent="0.2">
      <c r="B144" s="15"/>
    </row>
    <row r="145" spans="2:2" x14ac:dyDescent="0.2">
      <c r="B145" s="15"/>
    </row>
    <row r="146" spans="2:2" x14ac:dyDescent="0.2">
      <c r="B146" s="15"/>
    </row>
    <row r="147" spans="2:2" x14ac:dyDescent="0.2">
      <c r="B147" s="15"/>
    </row>
    <row r="148" spans="2:2" x14ac:dyDescent="0.2">
      <c r="B148" s="15"/>
    </row>
    <row r="149" spans="2:2" x14ac:dyDescent="0.2">
      <c r="B149" s="15"/>
    </row>
    <row r="150" spans="2:2" x14ac:dyDescent="0.2">
      <c r="B150" s="15"/>
    </row>
    <row r="151" spans="2:2" x14ac:dyDescent="0.2">
      <c r="B151" s="15"/>
    </row>
    <row r="152" spans="2:2" x14ac:dyDescent="0.2">
      <c r="B152" s="15"/>
    </row>
    <row r="153" spans="2:2" x14ac:dyDescent="0.2">
      <c r="B153" s="15"/>
    </row>
    <row r="154" spans="2:2" x14ac:dyDescent="0.2">
      <c r="B154" s="15"/>
    </row>
    <row r="155" spans="2:2" x14ac:dyDescent="0.2">
      <c r="B155" s="15"/>
    </row>
    <row r="156" spans="2:2" x14ac:dyDescent="0.2">
      <c r="B156" s="15"/>
    </row>
    <row r="157" spans="2:2" x14ac:dyDescent="0.2">
      <c r="B157" s="15"/>
    </row>
    <row r="158" spans="2:2" x14ac:dyDescent="0.2">
      <c r="B158" s="15"/>
    </row>
    <row r="159" spans="2:2" x14ac:dyDescent="0.2">
      <c r="B159" s="15"/>
    </row>
    <row r="160" spans="2:2" x14ac:dyDescent="0.2">
      <c r="B160" s="15"/>
    </row>
    <row r="161" spans="2:2" x14ac:dyDescent="0.2">
      <c r="B161" s="15"/>
    </row>
    <row r="162" spans="2:2" x14ac:dyDescent="0.2">
      <c r="B162" s="15"/>
    </row>
    <row r="163" spans="2:2" x14ac:dyDescent="0.2">
      <c r="B163" s="15"/>
    </row>
    <row r="164" spans="2:2" x14ac:dyDescent="0.2">
      <c r="B164" s="15"/>
    </row>
    <row r="165" spans="2:2" x14ac:dyDescent="0.2">
      <c r="B165" s="15"/>
    </row>
    <row r="166" spans="2:2" x14ac:dyDescent="0.2">
      <c r="B166" s="15"/>
    </row>
    <row r="167" spans="2:2" x14ac:dyDescent="0.2">
      <c r="B167" s="15"/>
    </row>
    <row r="168" spans="2:2" x14ac:dyDescent="0.2">
      <c r="B168" s="15"/>
    </row>
    <row r="169" spans="2:2" x14ac:dyDescent="0.2">
      <c r="B169" s="15"/>
    </row>
    <row r="170" spans="2:2" x14ac:dyDescent="0.2">
      <c r="B170" s="15"/>
    </row>
    <row r="171" spans="2:2" x14ac:dyDescent="0.2">
      <c r="B171" s="15"/>
    </row>
    <row r="172" spans="2:2" x14ac:dyDescent="0.2">
      <c r="B172" s="15"/>
    </row>
    <row r="173" spans="2:2" x14ac:dyDescent="0.2">
      <c r="B173" s="15"/>
    </row>
    <row r="174" spans="2:2" x14ac:dyDescent="0.2">
      <c r="B174" s="15"/>
    </row>
    <row r="175" spans="2:2" x14ac:dyDescent="0.2">
      <c r="B175" s="15"/>
    </row>
    <row r="176" spans="2:2" x14ac:dyDescent="0.2">
      <c r="B176" s="15"/>
    </row>
    <row r="177" spans="2:2" x14ac:dyDescent="0.2">
      <c r="B177" s="15"/>
    </row>
    <row r="178" spans="2:2" x14ac:dyDescent="0.2">
      <c r="B178" s="15"/>
    </row>
    <row r="179" spans="2:2" x14ac:dyDescent="0.2">
      <c r="B179" s="15"/>
    </row>
    <row r="180" spans="2:2" x14ac:dyDescent="0.2">
      <c r="B180" s="15"/>
    </row>
    <row r="181" spans="2:2" x14ac:dyDescent="0.2">
      <c r="B181" s="15"/>
    </row>
    <row r="182" spans="2:2" x14ac:dyDescent="0.2">
      <c r="B182" s="15"/>
    </row>
    <row r="183" spans="2:2" x14ac:dyDescent="0.2">
      <c r="B183" s="15"/>
    </row>
    <row r="184" spans="2:2" x14ac:dyDescent="0.2">
      <c r="B184" s="15"/>
    </row>
    <row r="185" spans="2:2" x14ac:dyDescent="0.2">
      <c r="B185" s="15"/>
    </row>
    <row r="186" spans="2:2" x14ac:dyDescent="0.2">
      <c r="B186" s="15"/>
    </row>
    <row r="187" spans="2:2" x14ac:dyDescent="0.2">
      <c r="B187" s="15"/>
    </row>
    <row r="188" spans="2:2" x14ac:dyDescent="0.2">
      <c r="B188" s="15"/>
    </row>
    <row r="189" spans="2:2" x14ac:dyDescent="0.2">
      <c r="B189" s="15"/>
    </row>
    <row r="190" spans="2:2" x14ac:dyDescent="0.2">
      <c r="B190" s="15"/>
    </row>
    <row r="191" spans="2:2" x14ac:dyDescent="0.2">
      <c r="B191" s="15"/>
    </row>
    <row r="192" spans="2:2" x14ac:dyDescent="0.2">
      <c r="B192" s="15"/>
    </row>
    <row r="193" spans="2:2" x14ac:dyDescent="0.2">
      <c r="B193" s="15"/>
    </row>
    <row r="194" spans="2:2" x14ac:dyDescent="0.2">
      <c r="B194" s="15"/>
    </row>
    <row r="195" spans="2:2" x14ac:dyDescent="0.2">
      <c r="B195" s="15"/>
    </row>
    <row r="196" spans="2:2" x14ac:dyDescent="0.2">
      <c r="B196" s="15"/>
    </row>
    <row r="197" spans="2:2" x14ac:dyDescent="0.2">
      <c r="B197" s="15"/>
    </row>
    <row r="198" spans="2:2" x14ac:dyDescent="0.2">
      <c r="B198" s="15"/>
    </row>
    <row r="199" spans="2:2" x14ac:dyDescent="0.2">
      <c r="B199" s="15"/>
    </row>
    <row r="200" spans="2:2" x14ac:dyDescent="0.2">
      <c r="B200" s="15"/>
    </row>
    <row r="201" spans="2:2" x14ac:dyDescent="0.2">
      <c r="B201" s="15"/>
    </row>
    <row r="202" spans="2:2" x14ac:dyDescent="0.2">
      <c r="B202" s="15"/>
    </row>
    <row r="203" spans="2:2" x14ac:dyDescent="0.2">
      <c r="B203" s="15"/>
    </row>
    <row r="204" spans="2:2" x14ac:dyDescent="0.2">
      <c r="B204" s="15"/>
    </row>
    <row r="205" spans="2:2" x14ac:dyDescent="0.2">
      <c r="B205" s="15"/>
    </row>
    <row r="206" spans="2:2" x14ac:dyDescent="0.2">
      <c r="B206" s="15"/>
    </row>
    <row r="207" spans="2:2" x14ac:dyDescent="0.2">
      <c r="B207" s="15"/>
    </row>
    <row r="208" spans="2:2" x14ac:dyDescent="0.2">
      <c r="B208" s="15"/>
    </row>
    <row r="209" spans="2:2" x14ac:dyDescent="0.2">
      <c r="B209" s="15"/>
    </row>
    <row r="210" spans="2:2" x14ac:dyDescent="0.2">
      <c r="B210" s="15"/>
    </row>
    <row r="211" spans="2:2" x14ac:dyDescent="0.2">
      <c r="B211" s="15"/>
    </row>
    <row r="212" spans="2:2" x14ac:dyDescent="0.2">
      <c r="B212" s="15"/>
    </row>
    <row r="213" spans="2:2" x14ac:dyDescent="0.2">
      <c r="B213" s="15"/>
    </row>
    <row r="214" spans="2:2" x14ac:dyDescent="0.2">
      <c r="B214" s="15"/>
    </row>
    <row r="215" spans="2:2" x14ac:dyDescent="0.2">
      <c r="B215" s="15"/>
    </row>
    <row r="216" spans="2:2" x14ac:dyDescent="0.2">
      <c r="B216" s="15"/>
    </row>
    <row r="217" spans="2:2" x14ac:dyDescent="0.2">
      <c r="B217" s="15"/>
    </row>
    <row r="218" spans="2:2" x14ac:dyDescent="0.2">
      <c r="B218" s="15"/>
    </row>
    <row r="219" spans="2:2" x14ac:dyDescent="0.2">
      <c r="B219" s="15"/>
    </row>
    <row r="220" spans="2:2" x14ac:dyDescent="0.2">
      <c r="B220" s="15"/>
    </row>
    <row r="221" spans="2:2" x14ac:dyDescent="0.2">
      <c r="B221" s="15"/>
    </row>
    <row r="222" spans="2:2" x14ac:dyDescent="0.2">
      <c r="B222" s="15"/>
    </row>
    <row r="223" spans="2:2" x14ac:dyDescent="0.2">
      <c r="B223" s="15"/>
    </row>
    <row r="224" spans="2:2" x14ac:dyDescent="0.2">
      <c r="B224" s="15"/>
    </row>
    <row r="225" spans="2:2" x14ac:dyDescent="0.2">
      <c r="B225" s="15"/>
    </row>
    <row r="226" spans="2:2" x14ac:dyDescent="0.2">
      <c r="B226" s="15"/>
    </row>
    <row r="227" spans="2:2" x14ac:dyDescent="0.2">
      <c r="B227" s="15"/>
    </row>
    <row r="228" spans="2:2" x14ac:dyDescent="0.2">
      <c r="B228" s="15"/>
    </row>
    <row r="229" spans="2:2" x14ac:dyDescent="0.2">
      <c r="B229" s="15"/>
    </row>
    <row r="230" spans="2:2" x14ac:dyDescent="0.2">
      <c r="B230" s="15"/>
    </row>
    <row r="231" spans="2:2" x14ac:dyDescent="0.2">
      <c r="B231" s="15"/>
    </row>
    <row r="232" spans="2:2" x14ac:dyDescent="0.2">
      <c r="B232" s="15"/>
    </row>
    <row r="233" spans="2:2" x14ac:dyDescent="0.2">
      <c r="B233" s="15"/>
    </row>
    <row r="234" spans="2:2" x14ac:dyDescent="0.2">
      <c r="B234" s="15"/>
    </row>
    <row r="235" spans="2:2" x14ac:dyDescent="0.2">
      <c r="B235" s="15"/>
    </row>
    <row r="236" spans="2:2" x14ac:dyDescent="0.2">
      <c r="B236" s="15"/>
    </row>
    <row r="237" spans="2:2" x14ac:dyDescent="0.2">
      <c r="B237" s="15"/>
    </row>
    <row r="238" spans="2:2" x14ac:dyDescent="0.2">
      <c r="B238" s="15"/>
    </row>
    <row r="239" spans="2:2" x14ac:dyDescent="0.2">
      <c r="B239" s="15"/>
    </row>
    <row r="240" spans="2:2" x14ac:dyDescent="0.2">
      <c r="B240" s="15"/>
    </row>
    <row r="241" spans="2:2" x14ac:dyDescent="0.2">
      <c r="B241" s="15"/>
    </row>
    <row r="242" spans="2:2" x14ac:dyDescent="0.2">
      <c r="B242" s="15"/>
    </row>
    <row r="243" spans="2:2" x14ac:dyDescent="0.2">
      <c r="B243" s="15"/>
    </row>
    <row r="244" spans="2:2" x14ac:dyDescent="0.2">
      <c r="B244" s="15"/>
    </row>
    <row r="245" spans="2:2" x14ac:dyDescent="0.2">
      <c r="B245" s="15"/>
    </row>
    <row r="246" spans="2:2" x14ac:dyDescent="0.2">
      <c r="B246" s="15"/>
    </row>
    <row r="247" spans="2:2" x14ac:dyDescent="0.2">
      <c r="B247" s="15"/>
    </row>
    <row r="248" spans="2:2" x14ac:dyDescent="0.2">
      <c r="B248" s="15"/>
    </row>
    <row r="249" spans="2:2" x14ac:dyDescent="0.2">
      <c r="B249" s="15"/>
    </row>
    <row r="250" spans="2:2" x14ac:dyDescent="0.2">
      <c r="B250" s="15"/>
    </row>
    <row r="251" spans="2:2" x14ac:dyDescent="0.2">
      <c r="B251" s="15"/>
    </row>
    <row r="252" spans="2:2" x14ac:dyDescent="0.2">
      <c r="B252" s="15"/>
    </row>
    <row r="253" spans="2:2" x14ac:dyDescent="0.2">
      <c r="B253" s="15"/>
    </row>
    <row r="254" spans="2:2" x14ac:dyDescent="0.2">
      <c r="B254" s="15"/>
    </row>
    <row r="255" spans="2:2" x14ac:dyDescent="0.2">
      <c r="B255" s="15"/>
    </row>
    <row r="256" spans="2:2" x14ac:dyDescent="0.2">
      <c r="B256" s="15"/>
    </row>
    <row r="257" spans="2:2" x14ac:dyDescent="0.2">
      <c r="B257" s="15"/>
    </row>
    <row r="258" spans="2:2" x14ac:dyDescent="0.2">
      <c r="B258" s="15"/>
    </row>
    <row r="259" spans="2:2" x14ac:dyDescent="0.2">
      <c r="B259" s="15"/>
    </row>
    <row r="260" spans="2:2" x14ac:dyDescent="0.2">
      <c r="B260" s="15"/>
    </row>
    <row r="261" spans="2:2" x14ac:dyDescent="0.2">
      <c r="B261" s="15"/>
    </row>
    <row r="262" spans="2:2" x14ac:dyDescent="0.2">
      <c r="B262" s="15"/>
    </row>
    <row r="263" spans="2:2" x14ac:dyDescent="0.2">
      <c r="B263" s="15"/>
    </row>
    <row r="264" spans="2:2" x14ac:dyDescent="0.2">
      <c r="B264" s="15"/>
    </row>
    <row r="265" spans="2:2" x14ac:dyDescent="0.2">
      <c r="B265" s="15"/>
    </row>
    <row r="266" spans="2:2" x14ac:dyDescent="0.2">
      <c r="B266" s="15"/>
    </row>
    <row r="267" spans="2:2" x14ac:dyDescent="0.2">
      <c r="B267" s="15"/>
    </row>
    <row r="268" spans="2:2" x14ac:dyDescent="0.2">
      <c r="B268" s="15"/>
    </row>
    <row r="269" spans="2:2" x14ac:dyDescent="0.2">
      <c r="B269" s="15"/>
    </row>
    <row r="270" spans="2:2" x14ac:dyDescent="0.2">
      <c r="B270" s="15"/>
    </row>
    <row r="271" spans="2:2" x14ac:dyDescent="0.2">
      <c r="B271" s="15"/>
    </row>
    <row r="272" spans="2:2" x14ac:dyDescent="0.2">
      <c r="B272" s="15"/>
    </row>
    <row r="273" spans="2:2" x14ac:dyDescent="0.2">
      <c r="B273" s="15"/>
    </row>
    <row r="274" spans="2:2" x14ac:dyDescent="0.2">
      <c r="B274" s="15"/>
    </row>
    <row r="275" spans="2:2" x14ac:dyDescent="0.2">
      <c r="B275" s="15"/>
    </row>
    <row r="276" spans="2:2" x14ac:dyDescent="0.2">
      <c r="B276" s="15"/>
    </row>
    <row r="277" spans="2:2" x14ac:dyDescent="0.2">
      <c r="B277" s="15"/>
    </row>
    <row r="278" spans="2:2" x14ac:dyDescent="0.2">
      <c r="B278" s="15"/>
    </row>
    <row r="279" spans="2:2" x14ac:dyDescent="0.2">
      <c r="B279" s="15"/>
    </row>
    <row r="280" spans="2:2" x14ac:dyDescent="0.2">
      <c r="B280" s="15"/>
    </row>
    <row r="281" spans="2:2" x14ac:dyDescent="0.2">
      <c r="B281" s="15"/>
    </row>
    <row r="282" spans="2:2" x14ac:dyDescent="0.2">
      <c r="B282" s="15"/>
    </row>
    <row r="283" spans="2:2" x14ac:dyDescent="0.2">
      <c r="B283" s="15"/>
    </row>
    <row r="284" spans="2:2" x14ac:dyDescent="0.2">
      <c r="B284" s="15"/>
    </row>
    <row r="285" spans="2:2" x14ac:dyDescent="0.2">
      <c r="B285" s="15"/>
    </row>
    <row r="286" spans="2:2" x14ac:dyDescent="0.2">
      <c r="B286" s="15"/>
    </row>
    <row r="287" spans="2:2" x14ac:dyDescent="0.2">
      <c r="B287" s="15"/>
    </row>
    <row r="288" spans="2:2" x14ac:dyDescent="0.2">
      <c r="B288" s="15"/>
    </row>
    <row r="289" spans="2:2" x14ac:dyDescent="0.2">
      <c r="B289" s="15"/>
    </row>
    <row r="290" spans="2:2" x14ac:dyDescent="0.2">
      <c r="B290" s="15"/>
    </row>
    <row r="291" spans="2:2" x14ac:dyDescent="0.2">
      <c r="B291" s="15"/>
    </row>
    <row r="292" spans="2:2" x14ac:dyDescent="0.2">
      <c r="B292" s="15"/>
    </row>
    <row r="293" spans="2:2" x14ac:dyDescent="0.2">
      <c r="B293" s="15"/>
    </row>
    <row r="294" spans="2:2" x14ac:dyDescent="0.2">
      <c r="B294" s="15"/>
    </row>
    <row r="295" spans="2:2" x14ac:dyDescent="0.2">
      <c r="B295" s="15"/>
    </row>
    <row r="296" spans="2:2" x14ac:dyDescent="0.2">
      <c r="B296" s="15"/>
    </row>
    <row r="297" spans="2:2" x14ac:dyDescent="0.2">
      <c r="B297" s="15"/>
    </row>
    <row r="298" spans="2:2" x14ac:dyDescent="0.2">
      <c r="B298" s="15"/>
    </row>
    <row r="299" spans="2:2" x14ac:dyDescent="0.2">
      <c r="B299" s="15"/>
    </row>
    <row r="300" spans="2:2" x14ac:dyDescent="0.2">
      <c r="B300" s="15"/>
    </row>
    <row r="301" spans="2:2" x14ac:dyDescent="0.2">
      <c r="B301" s="15"/>
    </row>
    <row r="302" spans="2:2" x14ac:dyDescent="0.2">
      <c r="B302" s="15"/>
    </row>
    <row r="303" spans="2:2" x14ac:dyDescent="0.2">
      <c r="B303" s="15"/>
    </row>
    <row r="304" spans="2:2" x14ac:dyDescent="0.2">
      <c r="B304" s="15"/>
    </row>
    <row r="305" spans="2:2" x14ac:dyDescent="0.2">
      <c r="B305" s="15"/>
    </row>
    <row r="306" spans="2:2" x14ac:dyDescent="0.2">
      <c r="B306" s="15"/>
    </row>
    <row r="307" spans="2:2" x14ac:dyDescent="0.2">
      <c r="B307" s="15"/>
    </row>
    <row r="308" spans="2:2" x14ac:dyDescent="0.2">
      <c r="B308" s="15"/>
    </row>
    <row r="309" spans="2:2" x14ac:dyDescent="0.2">
      <c r="B309" s="15"/>
    </row>
    <row r="310" spans="2:2" x14ac:dyDescent="0.2">
      <c r="B310" s="15"/>
    </row>
    <row r="311" spans="2:2" x14ac:dyDescent="0.2">
      <c r="B311" s="15"/>
    </row>
    <row r="312" spans="2:2" x14ac:dyDescent="0.2">
      <c r="B312" s="15"/>
    </row>
    <row r="313" spans="2:2" x14ac:dyDescent="0.2">
      <c r="B313" s="15"/>
    </row>
    <row r="314" spans="2:2" x14ac:dyDescent="0.2">
      <c r="B314" s="15"/>
    </row>
    <row r="315" spans="2:2" x14ac:dyDescent="0.2">
      <c r="B315" s="15"/>
    </row>
    <row r="316" spans="2:2" x14ac:dyDescent="0.2">
      <c r="B316" s="15"/>
    </row>
    <row r="317" spans="2:2" x14ac:dyDescent="0.2">
      <c r="B317" s="15"/>
    </row>
    <row r="318" spans="2:2" x14ac:dyDescent="0.2">
      <c r="B318" s="15"/>
    </row>
    <row r="319" spans="2:2" x14ac:dyDescent="0.2">
      <c r="B319" s="15"/>
    </row>
    <row r="320" spans="2:2" x14ac:dyDescent="0.2">
      <c r="B320" s="15"/>
    </row>
    <row r="321" spans="2:2" x14ac:dyDescent="0.2">
      <c r="B321" s="15"/>
    </row>
    <row r="322" spans="2:2" x14ac:dyDescent="0.2">
      <c r="B322" s="15"/>
    </row>
    <row r="323" spans="2:2" x14ac:dyDescent="0.2">
      <c r="B323" s="15"/>
    </row>
    <row r="324" spans="2:2" x14ac:dyDescent="0.2">
      <c r="B324" s="15"/>
    </row>
    <row r="325" spans="2:2" x14ac:dyDescent="0.2">
      <c r="B325" s="15"/>
    </row>
    <row r="326" spans="2:2" x14ac:dyDescent="0.2">
      <c r="B326" s="15"/>
    </row>
    <row r="327" spans="2:2" x14ac:dyDescent="0.2">
      <c r="B327" s="15"/>
    </row>
    <row r="328" spans="2:2" x14ac:dyDescent="0.2">
      <c r="B328" s="15"/>
    </row>
    <row r="329" spans="2:2" x14ac:dyDescent="0.2">
      <c r="B329" s="15"/>
    </row>
    <row r="330" spans="2:2" x14ac:dyDescent="0.2">
      <c r="B330" s="15"/>
    </row>
    <row r="331" spans="2:2" x14ac:dyDescent="0.2">
      <c r="B331" s="15"/>
    </row>
    <row r="332" spans="2:2" x14ac:dyDescent="0.2">
      <c r="B332" s="15"/>
    </row>
    <row r="333" spans="2:2" x14ac:dyDescent="0.2">
      <c r="B333" s="15"/>
    </row>
    <row r="334" spans="2:2" x14ac:dyDescent="0.2">
      <c r="B334" s="15"/>
    </row>
    <row r="335" spans="2:2" x14ac:dyDescent="0.2">
      <c r="B335" s="15"/>
    </row>
    <row r="336" spans="2:2" x14ac:dyDescent="0.2">
      <c r="B336" s="15"/>
    </row>
    <row r="337" spans="2:2" x14ac:dyDescent="0.2">
      <c r="B337" s="15"/>
    </row>
    <row r="338" spans="2:2" x14ac:dyDescent="0.2">
      <c r="B338" s="15"/>
    </row>
    <row r="339" spans="2:2" x14ac:dyDescent="0.2">
      <c r="B339" s="15"/>
    </row>
    <row r="340" spans="2:2" x14ac:dyDescent="0.2">
      <c r="B340" s="15"/>
    </row>
    <row r="341" spans="2:2" x14ac:dyDescent="0.2">
      <c r="B341" s="15"/>
    </row>
    <row r="342" spans="2:2" x14ac:dyDescent="0.2">
      <c r="B342" s="15"/>
    </row>
    <row r="343" spans="2:2" x14ac:dyDescent="0.2">
      <c r="B343" s="15"/>
    </row>
    <row r="344" spans="2:2" x14ac:dyDescent="0.2">
      <c r="B344" s="15"/>
    </row>
    <row r="345" spans="2:2" x14ac:dyDescent="0.2">
      <c r="B345" s="15"/>
    </row>
    <row r="346" spans="2:2" x14ac:dyDescent="0.2">
      <c r="B346" s="15"/>
    </row>
    <row r="347" spans="2:2" x14ac:dyDescent="0.2">
      <c r="B347" s="15"/>
    </row>
    <row r="348" spans="2:2" x14ac:dyDescent="0.2">
      <c r="B348" s="15"/>
    </row>
    <row r="349" spans="2:2" x14ac:dyDescent="0.2">
      <c r="B349" s="15"/>
    </row>
    <row r="350" spans="2:2" x14ac:dyDescent="0.2">
      <c r="B350" s="15"/>
    </row>
    <row r="351" spans="2:2" x14ac:dyDescent="0.2">
      <c r="B351" s="15"/>
    </row>
    <row r="352" spans="2:2" x14ac:dyDescent="0.2">
      <c r="B352" s="15"/>
    </row>
    <row r="353" spans="2:2" x14ac:dyDescent="0.2">
      <c r="B353" s="15"/>
    </row>
    <row r="354" spans="2:2" x14ac:dyDescent="0.2">
      <c r="B354" s="15"/>
    </row>
    <row r="355" spans="2:2" x14ac:dyDescent="0.2">
      <c r="B355" s="15"/>
    </row>
    <row r="356" spans="2:2" x14ac:dyDescent="0.2">
      <c r="B356" s="15"/>
    </row>
    <row r="357" spans="2:2" x14ac:dyDescent="0.2">
      <c r="B357" s="15"/>
    </row>
    <row r="358" spans="2:2" x14ac:dyDescent="0.2">
      <c r="B358" s="15"/>
    </row>
    <row r="359" spans="2:2" x14ac:dyDescent="0.2">
      <c r="B359" s="15"/>
    </row>
    <row r="360" spans="2:2" x14ac:dyDescent="0.2">
      <c r="B360" s="15"/>
    </row>
    <row r="361" spans="2:2" x14ac:dyDescent="0.2">
      <c r="B361" s="15"/>
    </row>
    <row r="362" spans="2:2" x14ac:dyDescent="0.2">
      <c r="B362" s="15"/>
    </row>
    <row r="363" spans="2:2" x14ac:dyDescent="0.2">
      <c r="B363" s="15"/>
    </row>
    <row r="364" spans="2:2" x14ac:dyDescent="0.2">
      <c r="B364" s="15"/>
    </row>
    <row r="365" spans="2:2" x14ac:dyDescent="0.2">
      <c r="B365" s="15"/>
    </row>
    <row r="366" spans="2:2" x14ac:dyDescent="0.2">
      <c r="B366" s="15"/>
    </row>
    <row r="367" spans="2:2" x14ac:dyDescent="0.2">
      <c r="B367" s="15"/>
    </row>
    <row r="368" spans="2:2" x14ac:dyDescent="0.2">
      <c r="B368" s="15"/>
    </row>
    <row r="369" spans="2:2" x14ac:dyDescent="0.2">
      <c r="B369" s="15"/>
    </row>
    <row r="370" spans="2:2" x14ac:dyDescent="0.2">
      <c r="B370" s="15"/>
    </row>
    <row r="371" spans="2:2" x14ac:dyDescent="0.2">
      <c r="B371" s="15"/>
    </row>
    <row r="372" spans="2:2" x14ac:dyDescent="0.2">
      <c r="B372" s="15"/>
    </row>
    <row r="373" spans="2:2" x14ac:dyDescent="0.2">
      <c r="B373" s="15"/>
    </row>
    <row r="374" spans="2:2" x14ac:dyDescent="0.2">
      <c r="B374" s="15"/>
    </row>
    <row r="375" spans="2:2" x14ac:dyDescent="0.2">
      <c r="B375" s="15"/>
    </row>
    <row r="376" spans="2:2" x14ac:dyDescent="0.2">
      <c r="B376" s="15"/>
    </row>
    <row r="377" spans="2:2" x14ac:dyDescent="0.2">
      <c r="B377" s="15"/>
    </row>
    <row r="378" spans="2:2" x14ac:dyDescent="0.2">
      <c r="B378" s="15"/>
    </row>
    <row r="379" spans="2:2" x14ac:dyDescent="0.2">
      <c r="B379" s="15"/>
    </row>
    <row r="380" spans="2:2" x14ac:dyDescent="0.2">
      <c r="B380" s="15"/>
    </row>
    <row r="381" spans="2:2" x14ac:dyDescent="0.2">
      <c r="B381" s="15"/>
    </row>
    <row r="382" spans="2:2" x14ac:dyDescent="0.2">
      <c r="B382" s="15"/>
    </row>
    <row r="383" spans="2:2" x14ac:dyDescent="0.2">
      <c r="B383" s="15"/>
    </row>
    <row r="384" spans="2:2" x14ac:dyDescent="0.2">
      <c r="B384" s="15"/>
    </row>
    <row r="385" spans="2:2" x14ac:dyDescent="0.2">
      <c r="B385" s="15"/>
    </row>
    <row r="386" spans="2:2" x14ac:dyDescent="0.2">
      <c r="B386" s="15"/>
    </row>
    <row r="387" spans="2:2" x14ac:dyDescent="0.2">
      <c r="B387" s="15"/>
    </row>
    <row r="388" spans="2:2" x14ac:dyDescent="0.2">
      <c r="B388" s="15"/>
    </row>
    <row r="389" spans="2:2" x14ac:dyDescent="0.2">
      <c r="B389" s="15"/>
    </row>
    <row r="390" spans="2:2" x14ac:dyDescent="0.2">
      <c r="B390" s="15"/>
    </row>
    <row r="391" spans="2:2" x14ac:dyDescent="0.2">
      <c r="B391" s="15"/>
    </row>
    <row r="392" spans="2:2" x14ac:dyDescent="0.2">
      <c r="B392" s="15"/>
    </row>
    <row r="393" spans="2:2" x14ac:dyDescent="0.2">
      <c r="B393" s="15"/>
    </row>
    <row r="394" spans="2:2" x14ac:dyDescent="0.2">
      <c r="B394" s="15"/>
    </row>
    <row r="395" spans="2:2" x14ac:dyDescent="0.2">
      <c r="B395" s="15"/>
    </row>
    <row r="396" spans="2:2" x14ac:dyDescent="0.2">
      <c r="B396" s="15"/>
    </row>
    <row r="397" spans="2:2" x14ac:dyDescent="0.2">
      <c r="B397" s="15"/>
    </row>
    <row r="398" spans="2:2" x14ac:dyDescent="0.2">
      <c r="B398" s="15"/>
    </row>
    <row r="399" spans="2:2" x14ac:dyDescent="0.2">
      <c r="B399" s="15"/>
    </row>
    <row r="400" spans="2:2" x14ac:dyDescent="0.2">
      <c r="B400" s="15"/>
    </row>
    <row r="401" spans="2:2" x14ac:dyDescent="0.2">
      <c r="B401" s="15"/>
    </row>
    <row r="402" spans="2:2" x14ac:dyDescent="0.2">
      <c r="B402" s="15"/>
    </row>
    <row r="403" spans="2:2" x14ac:dyDescent="0.2">
      <c r="B403" s="15"/>
    </row>
    <row r="404" spans="2:2" x14ac:dyDescent="0.2">
      <c r="B404" s="15"/>
    </row>
    <row r="405" spans="2:2" x14ac:dyDescent="0.2">
      <c r="B405" s="15"/>
    </row>
    <row r="406" spans="2:2" x14ac:dyDescent="0.2">
      <c r="B406" s="15"/>
    </row>
    <row r="407" spans="2:2" x14ac:dyDescent="0.2">
      <c r="B407" s="15"/>
    </row>
    <row r="408" spans="2:2" x14ac:dyDescent="0.2">
      <c r="B408" s="15"/>
    </row>
    <row r="409" spans="2:2" x14ac:dyDescent="0.2">
      <c r="B409" s="15"/>
    </row>
    <row r="410" spans="2:2" x14ac:dyDescent="0.2">
      <c r="B410" s="15"/>
    </row>
    <row r="411" spans="2:2" x14ac:dyDescent="0.2">
      <c r="B411" s="15"/>
    </row>
    <row r="412" spans="2:2" x14ac:dyDescent="0.2">
      <c r="B412" s="15"/>
    </row>
    <row r="413" spans="2:2" x14ac:dyDescent="0.2">
      <c r="B413" s="15"/>
    </row>
    <row r="414" spans="2:2" x14ac:dyDescent="0.2">
      <c r="B414" s="15"/>
    </row>
    <row r="415" spans="2:2" x14ac:dyDescent="0.2">
      <c r="B415" s="15"/>
    </row>
    <row r="416" spans="2:2" x14ac:dyDescent="0.2">
      <c r="B416" s="15"/>
    </row>
    <row r="417" spans="2:2" x14ac:dyDescent="0.2">
      <c r="B417" s="15"/>
    </row>
    <row r="418" spans="2:2" x14ac:dyDescent="0.2">
      <c r="B418" s="15"/>
    </row>
    <row r="419" spans="2:2" x14ac:dyDescent="0.2">
      <c r="B419" s="15"/>
    </row>
    <row r="420" spans="2:2" x14ac:dyDescent="0.2">
      <c r="B420" s="15"/>
    </row>
    <row r="421" spans="2:2" x14ac:dyDescent="0.2">
      <c r="B421" s="15"/>
    </row>
    <row r="422" spans="2:2" x14ac:dyDescent="0.2">
      <c r="B422" s="15"/>
    </row>
    <row r="423" spans="2:2" x14ac:dyDescent="0.2">
      <c r="B423" s="15"/>
    </row>
    <row r="424" spans="2:2" x14ac:dyDescent="0.2">
      <c r="B424" s="15"/>
    </row>
    <row r="425" spans="2:2" x14ac:dyDescent="0.2">
      <c r="B425" s="15"/>
    </row>
    <row r="426" spans="2:2" x14ac:dyDescent="0.2">
      <c r="B426" s="15"/>
    </row>
    <row r="427" spans="2:2" x14ac:dyDescent="0.2">
      <c r="B427" s="15"/>
    </row>
    <row r="428" spans="2:2" x14ac:dyDescent="0.2">
      <c r="B428" s="15"/>
    </row>
    <row r="429" spans="2:2" x14ac:dyDescent="0.2">
      <c r="B429" s="15"/>
    </row>
    <row r="430" spans="2:2" x14ac:dyDescent="0.2">
      <c r="B430" s="15"/>
    </row>
    <row r="431" spans="2:2" x14ac:dyDescent="0.2">
      <c r="B431" s="15"/>
    </row>
    <row r="432" spans="2:2" x14ac:dyDescent="0.2">
      <c r="B432" s="15"/>
    </row>
    <row r="433" spans="2:2" x14ac:dyDescent="0.2">
      <c r="B433" s="15"/>
    </row>
    <row r="434" spans="2:2" x14ac:dyDescent="0.2">
      <c r="B434" s="15"/>
    </row>
    <row r="435" spans="2:2" x14ac:dyDescent="0.2">
      <c r="B435" s="15"/>
    </row>
    <row r="436" spans="2:2" x14ac:dyDescent="0.2">
      <c r="B436" s="15"/>
    </row>
    <row r="437" spans="2:2" x14ac:dyDescent="0.2">
      <c r="B437" s="15"/>
    </row>
    <row r="438" spans="2:2" x14ac:dyDescent="0.2">
      <c r="B438" s="15"/>
    </row>
    <row r="439" spans="2:2" x14ac:dyDescent="0.2">
      <c r="B439" s="15"/>
    </row>
    <row r="440" spans="2:2" x14ac:dyDescent="0.2">
      <c r="B440" s="15"/>
    </row>
    <row r="441" spans="2:2" x14ac:dyDescent="0.2">
      <c r="B441" s="15"/>
    </row>
    <row r="442" spans="2:2" x14ac:dyDescent="0.2">
      <c r="B442" s="15"/>
    </row>
    <row r="443" spans="2:2" x14ac:dyDescent="0.2">
      <c r="B443" s="15"/>
    </row>
    <row r="444" spans="2:2" x14ac:dyDescent="0.2">
      <c r="B444" s="15"/>
    </row>
    <row r="445" spans="2:2" x14ac:dyDescent="0.2">
      <c r="B445" s="15"/>
    </row>
    <row r="446" spans="2:2" x14ac:dyDescent="0.2">
      <c r="B446" s="15"/>
    </row>
    <row r="447" spans="2:2" x14ac:dyDescent="0.2">
      <c r="B447" s="15"/>
    </row>
    <row r="448" spans="2:2" x14ac:dyDescent="0.2">
      <c r="B448" s="15"/>
    </row>
    <row r="449" spans="2:2" x14ac:dyDescent="0.2">
      <c r="B449" s="15"/>
    </row>
    <row r="450" spans="2:2" x14ac:dyDescent="0.2">
      <c r="B450" s="15"/>
    </row>
    <row r="451" spans="2:2" x14ac:dyDescent="0.2">
      <c r="B451" s="15"/>
    </row>
    <row r="452" spans="2:2" x14ac:dyDescent="0.2">
      <c r="B452" s="15"/>
    </row>
    <row r="453" spans="2:2" x14ac:dyDescent="0.2">
      <c r="B453" s="15"/>
    </row>
    <row r="454" spans="2:2" x14ac:dyDescent="0.2">
      <c r="B454" s="15"/>
    </row>
    <row r="455" spans="2:2" x14ac:dyDescent="0.2">
      <c r="B455" s="15"/>
    </row>
    <row r="456" spans="2:2" x14ac:dyDescent="0.2">
      <c r="B456" s="15"/>
    </row>
    <row r="457" spans="2:2" x14ac:dyDescent="0.2">
      <c r="B457" s="15"/>
    </row>
    <row r="458" spans="2:2" x14ac:dyDescent="0.2">
      <c r="B458" s="15"/>
    </row>
    <row r="459" spans="2:2" x14ac:dyDescent="0.2">
      <c r="B459" s="15"/>
    </row>
    <row r="460" spans="2:2" x14ac:dyDescent="0.2">
      <c r="B460" s="15"/>
    </row>
    <row r="461" spans="2:2" x14ac:dyDescent="0.2">
      <c r="B461" s="15"/>
    </row>
    <row r="462" spans="2:2" x14ac:dyDescent="0.2">
      <c r="B462" s="15"/>
    </row>
    <row r="463" spans="2:2" x14ac:dyDescent="0.2">
      <c r="B463" s="15"/>
    </row>
    <row r="464" spans="2:2" x14ac:dyDescent="0.2">
      <c r="B464" s="15"/>
    </row>
    <row r="465" spans="2:2" x14ac:dyDescent="0.2">
      <c r="B465" s="15"/>
    </row>
    <row r="466" spans="2:2" x14ac:dyDescent="0.2">
      <c r="B466" s="15"/>
    </row>
    <row r="467" spans="2:2" x14ac:dyDescent="0.2">
      <c r="B467" s="15"/>
    </row>
    <row r="468" spans="2:2" x14ac:dyDescent="0.2">
      <c r="B468" s="15"/>
    </row>
    <row r="469" spans="2:2" x14ac:dyDescent="0.2">
      <c r="B469" s="15"/>
    </row>
    <row r="470" spans="2:2" x14ac:dyDescent="0.2">
      <c r="B470" s="15"/>
    </row>
    <row r="471" spans="2:2" x14ac:dyDescent="0.2">
      <c r="B471" s="15"/>
    </row>
    <row r="472" spans="2:2" x14ac:dyDescent="0.2">
      <c r="B472" s="15"/>
    </row>
    <row r="473" spans="2:2" x14ac:dyDescent="0.2">
      <c r="B473" s="15"/>
    </row>
    <row r="474" spans="2:2" x14ac:dyDescent="0.2">
      <c r="B474" s="15"/>
    </row>
    <row r="475" spans="2:2" x14ac:dyDescent="0.2">
      <c r="B475" s="15"/>
    </row>
    <row r="476" spans="2:2" x14ac:dyDescent="0.2">
      <c r="B476" s="15"/>
    </row>
    <row r="477" spans="2:2" x14ac:dyDescent="0.2">
      <c r="B477" s="15"/>
    </row>
    <row r="478" spans="2:2" x14ac:dyDescent="0.2">
      <c r="B478" s="15"/>
    </row>
    <row r="479" spans="2:2" x14ac:dyDescent="0.2">
      <c r="B479" s="15"/>
    </row>
    <row r="480" spans="2:2" x14ac:dyDescent="0.2">
      <c r="B480" s="15"/>
    </row>
    <row r="481" spans="2:2" x14ac:dyDescent="0.2">
      <c r="B481" s="15"/>
    </row>
    <row r="482" spans="2:2" x14ac:dyDescent="0.2">
      <c r="B482" s="15"/>
    </row>
    <row r="483" spans="2:2" x14ac:dyDescent="0.2">
      <c r="B483" s="15"/>
    </row>
    <row r="484" spans="2:2" x14ac:dyDescent="0.2">
      <c r="B484" s="15"/>
    </row>
    <row r="485" spans="2:2" x14ac:dyDescent="0.2">
      <c r="B485" s="15"/>
    </row>
    <row r="486" spans="2:2" x14ac:dyDescent="0.2">
      <c r="B486" s="15"/>
    </row>
    <row r="487" spans="2:2" x14ac:dyDescent="0.2">
      <c r="B487" s="15"/>
    </row>
    <row r="488" spans="2:2" x14ac:dyDescent="0.2">
      <c r="B488" s="15"/>
    </row>
    <row r="489" spans="2:2" x14ac:dyDescent="0.2">
      <c r="B489" s="15"/>
    </row>
    <row r="490" spans="2:2" x14ac:dyDescent="0.2">
      <c r="B490" s="15"/>
    </row>
    <row r="491" spans="2:2" x14ac:dyDescent="0.2">
      <c r="B491" s="15"/>
    </row>
    <row r="492" spans="2:2" x14ac:dyDescent="0.2">
      <c r="B492" s="15"/>
    </row>
    <row r="493" spans="2:2" x14ac:dyDescent="0.2">
      <c r="B493" s="15"/>
    </row>
    <row r="494" spans="2:2" x14ac:dyDescent="0.2">
      <c r="B494" s="15"/>
    </row>
    <row r="495" spans="2:2" x14ac:dyDescent="0.2">
      <c r="B495" s="15"/>
    </row>
    <row r="496" spans="2:2" x14ac:dyDescent="0.2">
      <c r="B496" s="15"/>
    </row>
    <row r="497" spans="2:2" x14ac:dyDescent="0.2">
      <c r="B497" s="15"/>
    </row>
    <row r="498" spans="2:2" x14ac:dyDescent="0.2">
      <c r="B498" s="15"/>
    </row>
    <row r="499" spans="2:2" x14ac:dyDescent="0.2">
      <c r="B499" s="15"/>
    </row>
    <row r="500" spans="2:2" x14ac:dyDescent="0.2">
      <c r="B500" s="15"/>
    </row>
    <row r="501" spans="2:2" x14ac:dyDescent="0.2">
      <c r="B501" s="15"/>
    </row>
    <row r="502" spans="2:2" x14ac:dyDescent="0.2">
      <c r="B502" s="15"/>
    </row>
    <row r="503" spans="2:2" x14ac:dyDescent="0.2">
      <c r="B503" s="15"/>
    </row>
    <row r="504" spans="2:2" x14ac:dyDescent="0.2">
      <c r="B504" s="15"/>
    </row>
    <row r="505" spans="2:2" x14ac:dyDescent="0.2">
      <c r="B505" s="15"/>
    </row>
    <row r="506" spans="2:2" x14ac:dyDescent="0.2">
      <c r="B506" s="15"/>
    </row>
    <row r="507" spans="2:2" x14ac:dyDescent="0.2">
      <c r="B507" s="15"/>
    </row>
    <row r="508" spans="2:2" x14ac:dyDescent="0.2">
      <c r="B508" s="15"/>
    </row>
    <row r="509" spans="2:2" x14ac:dyDescent="0.2">
      <c r="B509" s="15"/>
    </row>
    <row r="510" spans="2:2" x14ac:dyDescent="0.2">
      <c r="B510" s="15"/>
    </row>
    <row r="511" spans="2:2" x14ac:dyDescent="0.2">
      <c r="B511" s="15"/>
    </row>
    <row r="512" spans="2:2" x14ac:dyDescent="0.2">
      <c r="B512" s="15"/>
    </row>
    <row r="513" spans="2:2" x14ac:dyDescent="0.2">
      <c r="B513" s="15"/>
    </row>
    <row r="514" spans="2:2" x14ac:dyDescent="0.2">
      <c r="B514" s="15"/>
    </row>
    <row r="515" spans="2:2" x14ac:dyDescent="0.2">
      <c r="B515" s="15"/>
    </row>
    <row r="516" spans="2:2" x14ac:dyDescent="0.2">
      <c r="B516" s="15"/>
    </row>
    <row r="517" spans="2:2" x14ac:dyDescent="0.2">
      <c r="B517" s="15"/>
    </row>
    <row r="518" spans="2:2" x14ac:dyDescent="0.2">
      <c r="B518" s="15"/>
    </row>
    <row r="519" spans="2:2" x14ac:dyDescent="0.2">
      <c r="B519" s="15"/>
    </row>
    <row r="520" spans="2:2" x14ac:dyDescent="0.2">
      <c r="B520" s="15"/>
    </row>
    <row r="521" spans="2:2" x14ac:dyDescent="0.2">
      <c r="B521" s="15"/>
    </row>
    <row r="522" spans="2:2" x14ac:dyDescent="0.2">
      <c r="B522" s="15"/>
    </row>
    <row r="523" spans="2:2" x14ac:dyDescent="0.2">
      <c r="B523" s="15"/>
    </row>
    <row r="524" spans="2:2" x14ac:dyDescent="0.2">
      <c r="B524" s="15"/>
    </row>
    <row r="525" spans="2:2" x14ac:dyDescent="0.2">
      <c r="B525" s="15"/>
    </row>
    <row r="526" spans="2:2" x14ac:dyDescent="0.2">
      <c r="B526" s="15"/>
    </row>
    <row r="527" spans="2:2" x14ac:dyDescent="0.2">
      <c r="B527" s="15"/>
    </row>
    <row r="528" spans="2:2" x14ac:dyDescent="0.2">
      <c r="B528" s="15"/>
    </row>
    <row r="529" spans="2:2" x14ac:dyDescent="0.2">
      <c r="B529" s="15"/>
    </row>
    <row r="530" spans="2:2" x14ac:dyDescent="0.2">
      <c r="B530" s="15"/>
    </row>
    <row r="531" spans="2:2" x14ac:dyDescent="0.2">
      <c r="B531" s="15"/>
    </row>
    <row r="532" spans="2:2" x14ac:dyDescent="0.2">
      <c r="B532" s="15"/>
    </row>
    <row r="533" spans="2:2" x14ac:dyDescent="0.2">
      <c r="B533" s="15"/>
    </row>
    <row r="534" spans="2:2" x14ac:dyDescent="0.2">
      <c r="B534" s="15"/>
    </row>
    <row r="535" spans="2:2" x14ac:dyDescent="0.2">
      <c r="B535" s="15"/>
    </row>
    <row r="536" spans="2:2" x14ac:dyDescent="0.2">
      <c r="B536" s="15"/>
    </row>
    <row r="537" spans="2:2" x14ac:dyDescent="0.2">
      <c r="B537" s="15"/>
    </row>
    <row r="538" spans="2:2" x14ac:dyDescent="0.2">
      <c r="B538" s="15"/>
    </row>
    <row r="539" spans="2:2" x14ac:dyDescent="0.2">
      <c r="B539" s="15"/>
    </row>
    <row r="540" spans="2:2" x14ac:dyDescent="0.2">
      <c r="B540" s="15"/>
    </row>
    <row r="541" spans="2:2" x14ac:dyDescent="0.2">
      <c r="B541" s="15"/>
    </row>
    <row r="542" spans="2:2" x14ac:dyDescent="0.2">
      <c r="B542" s="15"/>
    </row>
    <row r="543" spans="2:2" x14ac:dyDescent="0.2">
      <c r="B543" s="15"/>
    </row>
    <row r="544" spans="2:2" x14ac:dyDescent="0.2">
      <c r="B544" s="15"/>
    </row>
    <row r="545" spans="2:2" x14ac:dyDescent="0.2">
      <c r="B545" s="15"/>
    </row>
    <row r="546" spans="2:2" x14ac:dyDescent="0.2">
      <c r="B546" s="15"/>
    </row>
    <row r="547" spans="2:2" x14ac:dyDescent="0.2">
      <c r="B547" s="15"/>
    </row>
    <row r="548" spans="2:2" x14ac:dyDescent="0.2">
      <c r="B548" s="15"/>
    </row>
    <row r="549" spans="2:2" x14ac:dyDescent="0.2">
      <c r="B549" s="15"/>
    </row>
    <row r="550" spans="2:2" x14ac:dyDescent="0.2">
      <c r="B550" s="15"/>
    </row>
    <row r="551" spans="2:2" x14ac:dyDescent="0.2">
      <c r="B551" s="15"/>
    </row>
    <row r="552" spans="2:2" x14ac:dyDescent="0.2">
      <c r="B552" s="15"/>
    </row>
    <row r="553" spans="2:2" x14ac:dyDescent="0.2">
      <c r="B553" s="15"/>
    </row>
    <row r="554" spans="2:2" x14ac:dyDescent="0.2">
      <c r="B554" s="15"/>
    </row>
    <row r="555" spans="2:2" x14ac:dyDescent="0.2">
      <c r="B555" s="15"/>
    </row>
    <row r="556" spans="2:2" x14ac:dyDescent="0.2">
      <c r="B556" s="15"/>
    </row>
    <row r="557" spans="2:2" x14ac:dyDescent="0.2">
      <c r="B557" s="15"/>
    </row>
    <row r="558" spans="2:2" x14ac:dyDescent="0.2">
      <c r="B558" s="15"/>
    </row>
    <row r="559" spans="2:2" x14ac:dyDescent="0.2">
      <c r="B559" s="15"/>
    </row>
    <row r="560" spans="2:2" x14ac:dyDescent="0.2">
      <c r="B560" s="15"/>
    </row>
    <row r="561" spans="2:2" x14ac:dyDescent="0.2">
      <c r="B561" s="15"/>
    </row>
    <row r="562" spans="2:2" x14ac:dyDescent="0.2">
      <c r="B562" s="15"/>
    </row>
    <row r="563" spans="2:2" x14ac:dyDescent="0.2">
      <c r="B563" s="15"/>
    </row>
    <row r="564" spans="2:2" x14ac:dyDescent="0.2">
      <c r="B564" s="15"/>
    </row>
    <row r="565" spans="2:2" x14ac:dyDescent="0.2">
      <c r="B565" s="15"/>
    </row>
    <row r="566" spans="2:2" x14ac:dyDescent="0.2">
      <c r="B566" s="15"/>
    </row>
    <row r="567" spans="2:2" x14ac:dyDescent="0.2">
      <c r="B567" s="15"/>
    </row>
    <row r="568" spans="2:2" x14ac:dyDescent="0.2">
      <c r="B568" s="15"/>
    </row>
    <row r="569" spans="2:2" x14ac:dyDescent="0.2">
      <c r="B569" s="15"/>
    </row>
    <row r="570" spans="2:2" x14ac:dyDescent="0.2">
      <c r="B570" s="15"/>
    </row>
    <row r="571" spans="2:2" x14ac:dyDescent="0.2">
      <c r="B571" s="15"/>
    </row>
    <row r="572" spans="2:2" x14ac:dyDescent="0.2">
      <c r="B572" s="15"/>
    </row>
    <row r="573" spans="2:2" x14ac:dyDescent="0.2">
      <c r="B573" s="15"/>
    </row>
    <row r="574" spans="2:2" x14ac:dyDescent="0.2">
      <c r="B574" s="15"/>
    </row>
    <row r="575" spans="2:2" x14ac:dyDescent="0.2">
      <c r="B575" s="15"/>
    </row>
    <row r="576" spans="2:2" x14ac:dyDescent="0.2">
      <c r="B576" s="15"/>
    </row>
    <row r="577" spans="2:2" x14ac:dyDescent="0.2">
      <c r="B577" s="15"/>
    </row>
    <row r="578" spans="2:2" x14ac:dyDescent="0.2">
      <c r="B578" s="15"/>
    </row>
    <row r="579" spans="2:2" x14ac:dyDescent="0.2">
      <c r="B579" s="15"/>
    </row>
    <row r="580" spans="2:2" x14ac:dyDescent="0.2">
      <c r="B580" s="15"/>
    </row>
    <row r="581" spans="2:2" x14ac:dyDescent="0.2">
      <c r="B581" s="15"/>
    </row>
    <row r="582" spans="2:2" x14ac:dyDescent="0.2">
      <c r="B582" s="15"/>
    </row>
    <row r="583" spans="2:2" x14ac:dyDescent="0.2">
      <c r="B583" s="15"/>
    </row>
    <row r="584" spans="2:2" x14ac:dyDescent="0.2">
      <c r="B584" s="15"/>
    </row>
    <row r="585" spans="2:2" x14ac:dyDescent="0.2">
      <c r="B585" s="15"/>
    </row>
    <row r="586" spans="2:2" x14ac:dyDescent="0.2">
      <c r="B586" s="15"/>
    </row>
    <row r="587" spans="2:2" x14ac:dyDescent="0.2">
      <c r="B587" s="15"/>
    </row>
    <row r="588" spans="2:2" x14ac:dyDescent="0.2">
      <c r="B588" s="15"/>
    </row>
    <row r="589" spans="2:2" x14ac:dyDescent="0.2">
      <c r="B589" s="15"/>
    </row>
    <row r="590" spans="2:2" x14ac:dyDescent="0.2">
      <c r="B590" s="15"/>
    </row>
    <row r="591" spans="2:2" x14ac:dyDescent="0.2">
      <c r="B591" s="15"/>
    </row>
    <row r="592" spans="2:2" x14ac:dyDescent="0.2">
      <c r="B592" s="15"/>
    </row>
    <row r="593" spans="2:2" x14ac:dyDescent="0.2">
      <c r="B593" s="15"/>
    </row>
    <row r="594" spans="2:2" x14ac:dyDescent="0.2">
      <c r="B594" s="15"/>
    </row>
    <row r="595" spans="2:2" x14ac:dyDescent="0.2">
      <c r="B595" s="15"/>
    </row>
    <row r="596" spans="2:2" x14ac:dyDescent="0.2">
      <c r="B596" s="15"/>
    </row>
    <row r="597" spans="2:2" x14ac:dyDescent="0.2">
      <c r="B597" s="15"/>
    </row>
    <row r="598" spans="2:2" x14ac:dyDescent="0.2">
      <c r="B598" s="15"/>
    </row>
    <row r="599" spans="2:2" x14ac:dyDescent="0.2">
      <c r="B599" s="15"/>
    </row>
    <row r="600" spans="2:2" x14ac:dyDescent="0.2">
      <c r="B600" s="15"/>
    </row>
    <row r="601" spans="2:2" x14ac:dyDescent="0.2">
      <c r="B601" s="15"/>
    </row>
    <row r="602" spans="2:2" x14ac:dyDescent="0.2">
      <c r="B602" s="15"/>
    </row>
    <row r="603" spans="2:2" x14ac:dyDescent="0.2">
      <c r="B603" s="15"/>
    </row>
    <row r="604" spans="2:2" x14ac:dyDescent="0.2">
      <c r="B604" s="15"/>
    </row>
    <row r="605" spans="2:2" x14ac:dyDescent="0.2">
      <c r="B605" s="15"/>
    </row>
    <row r="606" spans="2:2" x14ac:dyDescent="0.2">
      <c r="B606" s="15"/>
    </row>
    <row r="607" spans="2:2" x14ac:dyDescent="0.2">
      <c r="B607" s="15"/>
    </row>
    <row r="608" spans="2:2" x14ac:dyDescent="0.2">
      <c r="B608" s="15"/>
    </row>
    <row r="609" spans="2:2" x14ac:dyDescent="0.2">
      <c r="B609" s="15"/>
    </row>
    <row r="610" spans="2:2" x14ac:dyDescent="0.2">
      <c r="B610" s="15"/>
    </row>
    <row r="611" spans="2:2" x14ac:dyDescent="0.2">
      <c r="B611" s="15"/>
    </row>
    <row r="612" spans="2:2" x14ac:dyDescent="0.2">
      <c r="B612" s="15"/>
    </row>
    <row r="613" spans="2:2" x14ac:dyDescent="0.2">
      <c r="B613" s="15"/>
    </row>
    <row r="614" spans="2:2" x14ac:dyDescent="0.2">
      <c r="B614" s="15"/>
    </row>
    <row r="615" spans="2:2" x14ac:dyDescent="0.2">
      <c r="B615" s="15"/>
    </row>
    <row r="616" spans="2:2" x14ac:dyDescent="0.2">
      <c r="B616" s="15"/>
    </row>
    <row r="617" spans="2:2" x14ac:dyDescent="0.2">
      <c r="B617" s="15"/>
    </row>
    <row r="618" spans="2:2" x14ac:dyDescent="0.2">
      <c r="B618" s="15"/>
    </row>
    <row r="619" spans="2:2" x14ac:dyDescent="0.2">
      <c r="B619" s="15"/>
    </row>
    <row r="620" spans="2:2" x14ac:dyDescent="0.2">
      <c r="B620" s="15"/>
    </row>
    <row r="621" spans="2:2" x14ac:dyDescent="0.2">
      <c r="B621" s="15"/>
    </row>
    <row r="622" spans="2:2" x14ac:dyDescent="0.2">
      <c r="B622" s="15"/>
    </row>
    <row r="623" spans="2:2" x14ac:dyDescent="0.2">
      <c r="B623" s="15"/>
    </row>
    <row r="624" spans="2:2" x14ac:dyDescent="0.2">
      <c r="B624" s="15"/>
    </row>
    <row r="625" spans="2:2" x14ac:dyDescent="0.2">
      <c r="B625" s="15"/>
    </row>
    <row r="626" spans="2:2" x14ac:dyDescent="0.2">
      <c r="B626" s="15"/>
    </row>
    <row r="627" spans="2:2" x14ac:dyDescent="0.2">
      <c r="B627" s="15"/>
    </row>
    <row r="628" spans="2:2" x14ac:dyDescent="0.2">
      <c r="B628" s="15"/>
    </row>
    <row r="629" spans="2:2" x14ac:dyDescent="0.2">
      <c r="B629" s="15"/>
    </row>
    <row r="630" spans="2:2" x14ac:dyDescent="0.2">
      <c r="B630" s="15"/>
    </row>
    <row r="631" spans="2:2" x14ac:dyDescent="0.2">
      <c r="B631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movement</vt:lpstr>
      <vt:lpstr>Mango Headcount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Tshepiso Mangwale</dc:creator>
  <cp:lastModifiedBy>Joseph Makoro</cp:lastModifiedBy>
  <dcterms:created xsi:type="dcterms:W3CDTF">2017-02-01T07:46:10Z</dcterms:created>
  <dcterms:modified xsi:type="dcterms:W3CDTF">2017-09-11T09:36:22Z</dcterms:modified>
</cp:coreProperties>
</file>