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N263E\Desktop\Office of CEO\Portfolio Committee\SCOF Appearance\13 September 2017\"/>
    </mc:Choice>
  </mc:AlternateContent>
  <bookViews>
    <workbookView xWindow="480" yWindow="495" windowWidth="19875" windowHeight="7020"/>
  </bookViews>
  <sheets>
    <sheet name="GTEES VS loans" sheetId="1" r:id="rId1"/>
    <sheet name="Debt Maturity Profile" sheetId="2" r:id="rId2"/>
  </sheets>
  <definedNames>
    <definedName name="_xlnm.Print_Area" localSheetId="0">'GTEES VS loans'!$A$1:$O$43</definedName>
  </definedNames>
  <calcPr calcId="162913"/>
</workbook>
</file>

<file path=xl/calcChain.xml><?xml version="1.0" encoding="utf-8"?>
<calcChain xmlns="http://schemas.openxmlformats.org/spreadsheetml/2006/main">
  <c r="F11" i="1" l="1"/>
  <c r="D11" i="2" l="1"/>
  <c r="K28" i="1" l="1"/>
  <c r="P35" i="1" l="1"/>
  <c r="M35" i="1" l="1"/>
  <c r="D13" i="2" l="1"/>
  <c r="H13" i="2"/>
  <c r="J13" i="2"/>
  <c r="M13" i="2"/>
  <c r="O12" i="2"/>
  <c r="K33" i="1"/>
  <c r="K32" i="1"/>
  <c r="K31" i="1"/>
  <c r="K30" i="1"/>
  <c r="K29" i="1"/>
  <c r="K27" i="1"/>
  <c r="O2" i="2" l="1"/>
  <c r="O3" i="2"/>
  <c r="I4" i="2"/>
  <c r="O5" i="2"/>
  <c r="O6" i="2"/>
  <c r="K7" i="2"/>
  <c r="O7" i="2" s="1"/>
  <c r="K8" i="2"/>
  <c r="O8" i="2" s="1"/>
  <c r="L9" i="2"/>
  <c r="L13" i="2" s="1"/>
  <c r="N10" i="2"/>
  <c r="N13" i="2" s="1"/>
  <c r="F27" i="1"/>
  <c r="H27" i="1" s="1"/>
  <c r="P27" i="1"/>
  <c r="F28" i="1"/>
  <c r="H28" i="1" s="1"/>
  <c r="P28" i="1"/>
  <c r="H29" i="1"/>
  <c r="P29" i="1"/>
  <c r="H30" i="1"/>
  <c r="P30" i="1"/>
  <c r="F31" i="1"/>
  <c r="H31" i="1" s="1"/>
  <c r="P31" i="1"/>
  <c r="H32" i="1"/>
  <c r="P32" i="1"/>
  <c r="F33" i="1"/>
  <c r="H33" i="1" s="1"/>
  <c r="P33" i="1"/>
  <c r="K34" i="1"/>
  <c r="K38" i="1" s="1"/>
  <c r="F34" i="1"/>
  <c r="H34" i="1" s="1"/>
  <c r="P34" i="1"/>
  <c r="F19" i="1"/>
  <c r="H19" i="1" s="1"/>
  <c r="P19" i="1"/>
  <c r="F20" i="1"/>
  <c r="H20" i="1" s="1"/>
  <c r="P20" i="1"/>
  <c r="F21" i="1"/>
  <c r="H21" i="1" s="1"/>
  <c r="P21" i="1"/>
  <c r="F22" i="1"/>
  <c r="H22" i="1" s="1"/>
  <c r="P22" i="1"/>
  <c r="F10" i="1"/>
  <c r="H10" i="1" s="1"/>
  <c r="P10" i="1"/>
  <c r="H11" i="1"/>
  <c r="P11" i="1"/>
  <c r="P12" i="1"/>
  <c r="Q12" i="1" s="1"/>
  <c r="F13" i="1"/>
  <c r="H13" i="1" s="1"/>
  <c r="P13" i="1"/>
  <c r="F14" i="1"/>
  <c r="H14" i="1" s="1"/>
  <c r="P14" i="1"/>
  <c r="F6" i="1"/>
  <c r="M6" i="1" s="1"/>
  <c r="P6" i="1"/>
  <c r="H2" i="1"/>
  <c r="C5" i="2" s="1"/>
  <c r="P2" i="1"/>
  <c r="G38" i="1"/>
  <c r="K3" i="1"/>
  <c r="K7" i="1"/>
  <c r="K16" i="1"/>
  <c r="K24" i="1"/>
  <c r="M29" i="1"/>
  <c r="M30" i="1"/>
  <c r="M32" i="1"/>
  <c r="M2" i="1"/>
  <c r="M12" i="1"/>
  <c r="J16" i="1"/>
  <c r="L16" i="1"/>
  <c r="J3" i="1"/>
  <c r="L3" i="1" s="1"/>
  <c r="J7" i="1"/>
  <c r="J24" i="1"/>
  <c r="J38" i="1"/>
  <c r="G24" i="1"/>
  <c r="T1" i="1"/>
  <c r="G16" i="1"/>
  <c r="N40" i="1"/>
  <c r="L2" i="1"/>
  <c r="K44" i="1" l="1"/>
  <c r="I11" i="2" s="1"/>
  <c r="O11" i="2" s="1"/>
  <c r="M31" i="1"/>
  <c r="M33" i="1"/>
  <c r="M20" i="1"/>
  <c r="M22" i="1"/>
  <c r="M27" i="1"/>
  <c r="O10" i="2"/>
  <c r="O4" i="2"/>
  <c r="C6" i="2"/>
  <c r="Q32" i="1"/>
  <c r="J40" i="1"/>
  <c r="M28" i="1"/>
  <c r="M19" i="1"/>
  <c r="L7" i="1"/>
  <c r="M10" i="1"/>
  <c r="M21" i="1"/>
  <c r="M34" i="1"/>
  <c r="H6" i="1"/>
  <c r="Q6" i="1" s="1"/>
  <c r="L24" i="1"/>
  <c r="M14" i="1"/>
  <c r="Q2" i="1"/>
  <c r="Q29" i="1"/>
  <c r="Q30" i="1"/>
  <c r="Q28" i="1"/>
  <c r="Q31" i="1"/>
  <c r="Q14" i="1"/>
  <c r="Q33" i="1"/>
  <c r="C7" i="2"/>
  <c r="Q19" i="1"/>
  <c r="C9" i="2"/>
  <c r="Q21" i="1"/>
  <c r="C10" i="2"/>
  <c r="Q20" i="1"/>
  <c r="Q27" i="1"/>
  <c r="Q34" i="1"/>
  <c r="M11" i="1"/>
  <c r="M13" i="1"/>
  <c r="Q22" i="1"/>
  <c r="O9" i="2"/>
  <c r="K13" i="2"/>
  <c r="C8" i="2"/>
  <c r="Q13" i="1"/>
  <c r="C3" i="2"/>
  <c r="Q11" i="1"/>
  <c r="Q10" i="1"/>
  <c r="C2" i="2"/>
  <c r="K40" i="1"/>
  <c r="J41" i="1" s="1"/>
  <c r="L38" i="1"/>
  <c r="I13" i="2" l="1"/>
  <c r="O13" i="2"/>
  <c r="M38" i="1"/>
  <c r="M24" i="1"/>
  <c r="H40" i="1"/>
  <c r="J42" i="1"/>
  <c r="L40" i="1"/>
  <c r="Q38" i="1"/>
  <c r="Q23" i="1"/>
  <c r="C13" i="2"/>
  <c r="M16" i="1"/>
  <c r="Q15" i="1"/>
  <c r="Q40" i="1" l="1"/>
  <c r="M40" i="1"/>
</calcChain>
</file>

<file path=xl/sharedStrings.xml><?xml version="1.0" encoding="utf-8"?>
<sst xmlns="http://schemas.openxmlformats.org/spreadsheetml/2006/main" count="155" uniqueCount="76">
  <si>
    <t>TYPE</t>
  </si>
  <si>
    <t>GUARANTEES AWARDED</t>
  </si>
  <si>
    <t>LOANS</t>
  </si>
  <si>
    <t>Reference Rate</t>
  </si>
  <si>
    <t>INTEREST RATE</t>
  </si>
  <si>
    <t>MATURITY</t>
  </si>
  <si>
    <t>AMOUNT</t>
  </si>
  <si>
    <t>UTILIZATION</t>
  </si>
  <si>
    <t>BALANCE</t>
  </si>
  <si>
    <t>Nedbank</t>
  </si>
  <si>
    <t>Perpetual</t>
  </si>
  <si>
    <t>Sub Total</t>
  </si>
  <si>
    <t>Allocation to ATL - Sep 2014</t>
  </si>
  <si>
    <t>Working Capital - Dec 2014</t>
  </si>
  <si>
    <t>Standard Bank</t>
  </si>
  <si>
    <t>Citibank</t>
  </si>
  <si>
    <t>ABSA</t>
  </si>
  <si>
    <t xml:space="preserve"> </t>
  </si>
  <si>
    <t>TOTAL GUARANTEES</t>
  </si>
  <si>
    <t>Air Transport Services Licencing Councils</t>
  </si>
  <si>
    <t>Working Capital - 30 April 2015</t>
  </si>
  <si>
    <t>Average Zar Floating Rate</t>
  </si>
  <si>
    <t>INSTITUTION</t>
  </si>
  <si>
    <t>ZAR LOAN AMOUNT</t>
  </si>
  <si>
    <t>TOTAL</t>
  </si>
  <si>
    <t>LONG TERM FUNDING</t>
  </si>
  <si>
    <t>Fixed</t>
  </si>
  <si>
    <t>FY 2016/17</t>
  </si>
  <si>
    <t>FY 2017/18</t>
  </si>
  <si>
    <t>FY 2018/19</t>
  </si>
  <si>
    <t>FY 2019/20</t>
  </si>
  <si>
    <t>FY 2020/21</t>
  </si>
  <si>
    <t>FY 2021/22</t>
  </si>
  <si>
    <t>FY 2022/23</t>
  </si>
  <si>
    <t>Floating - New</t>
  </si>
  <si>
    <t>Floating - Old</t>
  </si>
  <si>
    <t>Floating - RO</t>
  </si>
  <si>
    <t>Issued Dec 2014</t>
  </si>
  <si>
    <t>Subordinated Loan - Perpetual - issued Mar 2007</t>
  </si>
  <si>
    <t>Issued Sep 2009</t>
  </si>
  <si>
    <t>Margin</t>
  </si>
  <si>
    <t>3 Month Jibar</t>
  </si>
  <si>
    <t>Ave Margin</t>
  </si>
  <si>
    <t>Going Concern Guarantee 1</t>
  </si>
  <si>
    <t>Going Concern Guarantee 2</t>
  </si>
  <si>
    <t>Going Concern Guarantee 3</t>
  </si>
  <si>
    <t>LAST INTEREST PAYMENT DATE</t>
  </si>
  <si>
    <t>Issued July 2012</t>
  </si>
  <si>
    <t>AVAILABLE GUARANTEES</t>
  </si>
  <si>
    <t>Floating - New Bridge</t>
  </si>
  <si>
    <t>CURRENT INTEREST RATE</t>
  </si>
  <si>
    <t>Working Capital - 8 June 2016</t>
  </si>
  <si>
    <t>Working Capital - July 2016</t>
  </si>
  <si>
    <t>Going Concern Guarantee 4</t>
  </si>
  <si>
    <t>Issued Sep 2016</t>
  </si>
  <si>
    <t>Working Capital - 24 June 2015</t>
  </si>
  <si>
    <t>Call</t>
  </si>
  <si>
    <t>Various</t>
  </si>
  <si>
    <t>GSTBF</t>
  </si>
  <si>
    <t>Various Phoenix</t>
  </si>
  <si>
    <t>Working Capital - 6 March 2017</t>
  </si>
  <si>
    <t>1 Month Jibar</t>
  </si>
  <si>
    <t>Various GBF</t>
  </si>
  <si>
    <t>Allocation to Credit Card ATL</t>
  </si>
  <si>
    <t>Guarantees/SBLC's</t>
  </si>
  <si>
    <t>Operational</t>
  </si>
  <si>
    <t>INTEREST FOR THE QUARTER 01 Apr 2017 TO 30 Jun 2017 - 91 DAYS</t>
  </si>
  <si>
    <t>Accrued interest- 30 June 2017</t>
  </si>
  <si>
    <t>Bank 1</t>
  </si>
  <si>
    <t>Bank 2</t>
  </si>
  <si>
    <t>Bank 3</t>
  </si>
  <si>
    <t>Bank 4</t>
  </si>
  <si>
    <t>Bank 5</t>
  </si>
  <si>
    <t>Bank 6</t>
  </si>
  <si>
    <t>Bank 7</t>
  </si>
  <si>
    <t>Bank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</si>
</sst>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/>
    <xf numFmtId="0" fontId="0" fillId="0" borderId="1" xfId="0" applyBorder="1"/>
    <xf numFmtId="165" fontId="2" fillId="0" borderId="1" xfId="1" applyNumberFormat="1" applyFont="1" applyBorder="1"/>
    <xf numFmtId="165" fontId="0" fillId="0" borderId="1" xfId="1" applyNumberFormat="1" applyFont="1" applyBorder="1"/>
    <xf numFmtId="0" fontId="2" fillId="2" borderId="1" xfId="0" applyFont="1" applyFill="1" applyBorder="1"/>
    <xf numFmtId="165" fontId="2" fillId="2" borderId="1" xfId="1" applyNumberFormat="1" applyFont="1" applyFill="1" applyBorder="1"/>
    <xf numFmtId="10" fontId="0" fillId="0" borderId="1" xfId="0" applyNumberFormat="1" applyBorder="1"/>
    <xf numFmtId="15" fontId="0" fillId="0" borderId="1" xfId="0" applyNumberFormat="1" applyBorder="1"/>
    <xf numFmtId="165" fontId="2" fillId="2" borderId="1" xfId="0" applyNumberFormat="1" applyFont="1" applyFill="1" applyBorder="1"/>
    <xf numFmtId="0" fontId="0" fillId="0" borderId="1" xfId="0" applyBorder="1" applyAlignment="1">
      <alignment wrapText="1"/>
    </xf>
    <xf numFmtId="10" fontId="2" fillId="2" borderId="1" xfId="0" applyNumberFormat="1" applyFont="1" applyFill="1" applyBorder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10" fontId="0" fillId="0" borderId="1" xfId="0" applyNumberFormat="1" applyFill="1" applyBorder="1"/>
    <xf numFmtId="15" fontId="0" fillId="0" borderId="1" xfId="0" applyNumberFormat="1" applyFill="1" applyBorder="1"/>
    <xf numFmtId="165" fontId="0" fillId="0" borderId="1" xfId="1" applyNumberFormat="1" applyFont="1" applyFill="1" applyBorder="1"/>
    <xf numFmtId="165" fontId="2" fillId="0" borderId="1" xfId="1" applyNumberFormat="1" applyFont="1" applyFill="1" applyBorder="1"/>
    <xf numFmtId="10" fontId="0" fillId="0" borderId="1" xfId="0" applyNumberFormat="1" applyFont="1" applyFill="1" applyBorder="1"/>
    <xf numFmtId="0" fontId="0" fillId="0" borderId="1" xfId="0" applyFont="1" applyFill="1" applyBorder="1"/>
    <xf numFmtId="165" fontId="0" fillId="0" borderId="1" xfId="0" applyNumberFormat="1" applyFill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/>
    <xf numFmtId="165" fontId="2" fillId="0" borderId="1" xfId="0" applyNumberFormat="1" applyFont="1" applyBorder="1"/>
    <xf numFmtId="15" fontId="2" fillId="0" borderId="1" xfId="0" applyNumberFormat="1" applyFont="1" applyBorder="1"/>
    <xf numFmtId="2" fontId="2" fillId="0" borderId="1" xfId="0" applyNumberFormat="1" applyFont="1" applyFill="1" applyBorder="1"/>
    <xf numFmtId="2" fontId="2" fillId="2" borderId="1" xfId="0" applyNumberFormat="1" applyFont="1" applyFill="1" applyBorder="1"/>
    <xf numFmtId="2" fontId="2" fillId="0" borderId="1" xfId="0" applyNumberFormat="1" applyFont="1" applyBorder="1"/>
    <xf numFmtId="2" fontId="0" fillId="0" borderId="1" xfId="0" applyNumberFormat="1" applyBorder="1"/>
    <xf numFmtId="10" fontId="2" fillId="0" borderId="1" xfId="2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5" fontId="0" fillId="0" borderId="0" xfId="0" applyNumberFormat="1"/>
    <xf numFmtId="0" fontId="2" fillId="2" borderId="2" xfId="0" applyFont="1" applyFill="1" applyBorder="1" applyAlignment="1">
      <alignment wrapText="1"/>
    </xf>
    <xf numFmtId="164" fontId="2" fillId="0" borderId="2" xfId="1" applyFont="1" applyBorder="1"/>
    <xf numFmtId="165" fontId="2" fillId="2" borderId="2" xfId="1" applyNumberFormat="1" applyFont="1" applyFill="1" applyBorder="1"/>
    <xf numFmtId="0" fontId="2" fillId="0" borderId="2" xfId="0" applyFont="1" applyBorder="1"/>
    <xf numFmtId="165" fontId="2" fillId="2" borderId="2" xfId="0" applyNumberFormat="1" applyFont="1" applyFill="1" applyBorder="1"/>
    <xf numFmtId="0" fontId="0" fillId="2" borderId="3" xfId="0" applyFill="1" applyBorder="1" applyAlignment="1">
      <alignment horizontal="center"/>
    </xf>
    <xf numFmtId="0" fontId="2" fillId="2" borderId="4" xfId="0" applyFont="1" applyFill="1" applyBorder="1"/>
    <xf numFmtId="0" fontId="2" fillId="2" borderId="4" xfId="0" quotePrefix="1" applyFont="1" applyFill="1" applyBorder="1"/>
    <xf numFmtId="0" fontId="2" fillId="3" borderId="4" xfId="0" applyFont="1" applyFill="1" applyBorder="1" applyAlignment="1">
      <alignment horizontal="center"/>
    </xf>
    <xf numFmtId="0" fontId="2" fillId="2" borderId="5" xfId="0" applyFont="1" applyFill="1" applyBorder="1"/>
    <xf numFmtId="0" fontId="0" fillId="0" borderId="6" xfId="0" applyFill="1" applyBorder="1" applyAlignment="1">
      <alignment horizontal="center"/>
    </xf>
    <xf numFmtId="165" fontId="0" fillId="0" borderId="7" xfId="1" applyNumberFormat="1" applyFont="1" applyBorder="1"/>
    <xf numFmtId="0" fontId="0" fillId="0" borderId="6" xfId="0" applyBorder="1" applyAlignment="1">
      <alignment horizontal="center"/>
    </xf>
    <xf numFmtId="165" fontId="2" fillId="2" borderId="7" xfId="1" applyNumberFormat="1" applyFont="1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2" fillId="2" borderId="9" xfId="0" applyFont="1" applyFill="1" applyBorder="1"/>
    <xf numFmtId="165" fontId="2" fillId="2" borderId="9" xfId="0" applyNumberFormat="1" applyFont="1" applyFill="1" applyBorder="1"/>
    <xf numFmtId="165" fontId="0" fillId="0" borderId="9" xfId="0" applyNumberFormat="1" applyBorder="1"/>
    <xf numFmtId="0" fontId="0" fillId="0" borderId="10" xfId="0" applyBorder="1"/>
    <xf numFmtId="0" fontId="0" fillId="2" borderId="9" xfId="0" applyFill="1" applyBorder="1"/>
    <xf numFmtId="10" fontId="2" fillId="2" borderId="1" xfId="2" applyNumberFormat="1" applyFont="1" applyFill="1" applyBorder="1"/>
    <xf numFmtId="15" fontId="2" fillId="0" borderId="1" xfId="0" quotePrefix="1" applyNumberFormat="1" applyFont="1" applyBorder="1"/>
    <xf numFmtId="164" fontId="2" fillId="0" borderId="2" xfId="1" applyFont="1" applyFill="1" applyBorder="1"/>
    <xf numFmtId="0" fontId="2" fillId="0" borderId="2" xfId="0" applyFont="1" applyFill="1" applyBorder="1"/>
    <xf numFmtId="15" fontId="0" fillId="0" borderId="1" xfId="0" applyNumberFormat="1" applyFill="1" applyBorder="1" applyAlignment="1">
      <alignment horizontal="right"/>
    </xf>
    <xf numFmtId="165" fontId="2" fillId="0" borderId="7" xfId="1" applyNumberFormat="1" applyFont="1" applyFill="1" applyBorder="1"/>
    <xf numFmtId="165" fontId="2" fillId="0" borderId="2" xfId="1" applyNumberFormat="1" applyFont="1" applyFill="1" applyBorder="1"/>
    <xf numFmtId="15" fontId="0" fillId="4" borderId="0" xfId="0" applyNumberFormat="1" applyFill="1"/>
    <xf numFmtId="2" fontId="0" fillId="4" borderId="0" xfId="0" applyNumberFormat="1" applyFill="1"/>
    <xf numFmtId="4" fontId="0" fillId="4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5" fontId="2" fillId="4" borderId="0" xfId="0" applyNumberFormat="1" applyFont="1" applyFill="1" applyAlignment="1">
      <alignment wrapText="1"/>
    </xf>
    <xf numFmtId="4" fontId="2" fillId="2" borderId="11" xfId="0" applyNumberFormat="1" applyFont="1" applyFill="1" applyBorder="1"/>
    <xf numFmtId="0" fontId="3" fillId="0" borderId="1" xfId="0" applyFont="1" applyFill="1" applyBorder="1"/>
    <xf numFmtId="165" fontId="0" fillId="0" borderId="0" xfId="0" applyNumberFormat="1"/>
    <xf numFmtId="0" fontId="0" fillId="0" borderId="7" xfId="0" applyFill="1" applyBorder="1"/>
    <xf numFmtId="15" fontId="2" fillId="0" borderId="1" xfId="0" applyNumberFormat="1" applyFont="1" applyFill="1" applyBorder="1"/>
    <xf numFmtId="4" fontId="0" fillId="0" borderId="12" xfId="0" applyNumberFormat="1" applyBorder="1"/>
    <xf numFmtId="4" fontId="0" fillId="0" borderId="12" xfId="0" applyNumberFormat="1" applyFill="1" applyBorder="1"/>
    <xf numFmtId="165" fontId="4" fillId="2" borderId="7" xfId="0" applyNumberFormat="1" applyFont="1" applyFill="1" applyBorder="1"/>
    <xf numFmtId="0" fontId="2" fillId="2" borderId="1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zoomScale="78" zoomScaleNormal="78" workbookViewId="0">
      <pane ySplit="1" topLeftCell="A29" activePane="bottomLeft" state="frozen"/>
      <selection pane="bottomLeft" activeCell="E37" sqref="E37"/>
    </sheetView>
  </sheetViews>
  <sheetFormatPr defaultRowHeight="15" x14ac:dyDescent="0.25"/>
  <cols>
    <col min="1" max="1" width="3.42578125" bestFit="1" customWidth="1"/>
    <col min="2" max="2" width="18.85546875" customWidth="1"/>
    <col min="3" max="3" width="29" customWidth="1"/>
    <col min="4" max="4" width="24.5703125" bestFit="1" customWidth="1"/>
    <col min="5" max="5" width="23.85546875" bestFit="1" customWidth="1"/>
    <col min="6" max="6" width="13.140625" bestFit="1" customWidth="1"/>
    <col min="7" max="7" width="7.28515625" bestFit="1" customWidth="1"/>
    <col min="8" max="8" width="15.140625" bestFit="1" customWidth="1"/>
    <col min="9" max="9" width="17.42578125" bestFit="1" customWidth="1"/>
    <col min="10" max="11" width="16.42578125" bestFit="1" customWidth="1"/>
    <col min="12" max="12" width="15.85546875" bestFit="1" customWidth="1"/>
    <col min="13" max="13" width="18.85546875" customWidth="1"/>
    <col min="14" max="14" width="18.140625" customWidth="1"/>
    <col min="15" max="15" width="17.42578125" customWidth="1"/>
    <col min="16" max="16" width="10.28515625" bestFit="1" customWidth="1"/>
    <col min="17" max="17" width="16.28515625" customWidth="1"/>
    <col min="18" max="18" width="10.28515625" bestFit="1" customWidth="1"/>
    <col min="19" max="19" width="9.85546875" bestFit="1" customWidth="1"/>
  </cols>
  <sheetData>
    <row r="1" spans="1:20" ht="48" customHeight="1" x14ac:dyDescent="0.25">
      <c r="A1" s="42"/>
      <c r="B1" s="43" t="s">
        <v>0</v>
      </c>
      <c r="C1" s="43" t="s">
        <v>1</v>
      </c>
      <c r="D1" s="43" t="s">
        <v>2</v>
      </c>
      <c r="E1" s="43" t="s">
        <v>3</v>
      </c>
      <c r="F1" s="44" t="s">
        <v>41</v>
      </c>
      <c r="G1" s="45" t="s">
        <v>40</v>
      </c>
      <c r="H1" s="43" t="s">
        <v>4</v>
      </c>
      <c r="I1" s="43" t="s">
        <v>5</v>
      </c>
      <c r="J1" s="43" t="s">
        <v>6</v>
      </c>
      <c r="K1" s="43" t="s">
        <v>7</v>
      </c>
      <c r="L1" s="46" t="s">
        <v>8</v>
      </c>
      <c r="M1" s="37" t="s">
        <v>66</v>
      </c>
      <c r="N1" s="35" t="s">
        <v>46</v>
      </c>
      <c r="P1" s="66">
        <v>42916</v>
      </c>
      <c r="Q1" s="71" t="s">
        <v>67</v>
      </c>
      <c r="R1" s="36">
        <v>42825</v>
      </c>
      <c r="S1" s="36">
        <v>42916</v>
      </c>
      <c r="T1">
        <f>S1-R1</f>
        <v>91</v>
      </c>
    </row>
    <row r="2" spans="1:20" ht="30" x14ac:dyDescent="0.25">
      <c r="A2" s="47">
        <v>1</v>
      </c>
      <c r="B2" s="73" t="s">
        <v>35</v>
      </c>
      <c r="C2" s="34" t="s">
        <v>38</v>
      </c>
      <c r="D2" s="17" t="s">
        <v>9</v>
      </c>
      <c r="E2" s="17" t="s">
        <v>41</v>
      </c>
      <c r="F2" s="33">
        <v>7.0419999999999996E-2</v>
      </c>
      <c r="G2" s="33">
        <v>6.5000000000000002E-2</v>
      </c>
      <c r="H2" s="22">
        <f>F2+G2</f>
        <v>0.13541999999999998</v>
      </c>
      <c r="I2" s="23" t="s">
        <v>10</v>
      </c>
      <c r="J2" s="21">
        <v>1300000000</v>
      </c>
      <c r="K2" s="20">
        <v>1300000000</v>
      </c>
      <c r="L2" s="48">
        <f>J2-K2</f>
        <v>0</v>
      </c>
      <c r="M2" s="38">
        <f>SUM(K2*(F2+G2)*91/365)</f>
        <v>43890920.547945201</v>
      </c>
      <c r="N2" s="28">
        <v>42916</v>
      </c>
      <c r="P2" s="67">
        <f>$P$1-N2</f>
        <v>0</v>
      </c>
      <c r="Q2" s="68">
        <f>SUM(K2*H2*+P2/365)</f>
        <v>0</v>
      </c>
    </row>
    <row r="3" spans="1:20" x14ac:dyDescent="0.25">
      <c r="A3" s="49"/>
      <c r="B3" s="2"/>
      <c r="C3" s="5" t="s">
        <v>11</v>
      </c>
      <c r="D3" s="5"/>
      <c r="E3" s="5"/>
      <c r="F3" s="30"/>
      <c r="G3" s="30"/>
      <c r="H3" s="5"/>
      <c r="I3" s="5"/>
      <c r="J3" s="6">
        <f>SUM(J1:J2)</f>
        <v>1300000000</v>
      </c>
      <c r="K3" s="6">
        <f>SUM(K1:K2)</f>
        <v>1300000000</v>
      </c>
      <c r="L3" s="50">
        <f>J3-K3</f>
        <v>0</v>
      </c>
      <c r="M3" s="39"/>
      <c r="N3" s="6"/>
      <c r="P3" s="67"/>
      <c r="Q3" s="68"/>
    </row>
    <row r="4" spans="1:20" x14ac:dyDescent="0.25">
      <c r="A4" s="49"/>
      <c r="B4" s="2"/>
      <c r="C4" s="1" t="s">
        <v>43</v>
      </c>
      <c r="D4" s="1" t="s">
        <v>39</v>
      </c>
      <c r="E4" s="1"/>
      <c r="F4" s="31"/>
      <c r="G4" s="31"/>
      <c r="H4" s="1"/>
      <c r="I4" s="1"/>
      <c r="J4" s="3">
        <v>1600000000</v>
      </c>
      <c r="K4" s="4"/>
      <c r="L4" s="48"/>
      <c r="M4" s="40"/>
      <c r="N4" s="28" t="s">
        <v>17</v>
      </c>
      <c r="P4" s="67"/>
      <c r="Q4" s="68"/>
    </row>
    <row r="5" spans="1:20" ht="30" x14ac:dyDescent="0.25">
      <c r="A5" s="49"/>
      <c r="B5" s="2"/>
      <c r="C5" s="2" t="s">
        <v>12</v>
      </c>
      <c r="D5" s="10" t="s">
        <v>19</v>
      </c>
      <c r="E5" s="1" t="s">
        <v>17</v>
      </c>
      <c r="F5" s="31"/>
      <c r="G5" s="31"/>
      <c r="H5" s="7" t="s">
        <v>17</v>
      </c>
      <c r="I5" s="2"/>
      <c r="J5" s="4"/>
      <c r="K5" s="4">
        <v>541000000</v>
      </c>
      <c r="L5" s="48" t="s">
        <v>17</v>
      </c>
      <c r="M5" s="40"/>
      <c r="N5" s="1"/>
      <c r="P5" s="67"/>
      <c r="Q5" s="68"/>
    </row>
    <row r="6" spans="1:20" x14ac:dyDescent="0.25">
      <c r="A6" s="47">
        <v>2</v>
      </c>
      <c r="B6" s="16" t="s">
        <v>35</v>
      </c>
      <c r="C6" s="16" t="s">
        <v>13</v>
      </c>
      <c r="D6" s="16" t="s">
        <v>9</v>
      </c>
      <c r="E6" s="17" t="s">
        <v>41</v>
      </c>
      <c r="F6" s="33">
        <f>$F$2</f>
        <v>7.0419999999999996E-2</v>
      </c>
      <c r="G6" s="33">
        <v>2.4E-2</v>
      </c>
      <c r="H6" s="22">
        <f>F6+G6</f>
        <v>9.4420000000000004E-2</v>
      </c>
      <c r="I6" s="19">
        <v>43808</v>
      </c>
      <c r="J6" s="20"/>
      <c r="K6" s="20">
        <v>1055000000</v>
      </c>
      <c r="L6" s="48"/>
      <c r="M6" s="38">
        <f>SUM(K6*(F6+G6)*92/365)</f>
        <v>25107959.452054795</v>
      </c>
      <c r="N6" s="28">
        <v>42898</v>
      </c>
      <c r="P6" s="69">
        <f t="shared" ref="P6:P21" si="0">$P$1-N6</f>
        <v>18</v>
      </c>
      <c r="Q6" s="78">
        <f>SUM(K6*H6*+P6/365)</f>
        <v>4912426.8493150687</v>
      </c>
    </row>
    <row r="7" spans="1:20" x14ac:dyDescent="0.25">
      <c r="A7" s="49"/>
      <c r="B7" s="2"/>
      <c r="C7" s="5" t="s">
        <v>11</v>
      </c>
      <c r="D7" s="5"/>
      <c r="E7" s="5"/>
      <c r="F7" s="30"/>
      <c r="G7" s="30"/>
      <c r="H7" s="5"/>
      <c r="I7" s="5"/>
      <c r="J7" s="6">
        <f>SUM(J4:J6)</f>
        <v>1600000000</v>
      </c>
      <c r="K7" s="6">
        <f>SUM(K4:K6)</f>
        <v>1596000000</v>
      </c>
      <c r="L7" s="50">
        <f>J7-K7</f>
        <v>4000000</v>
      </c>
      <c r="M7" s="39"/>
      <c r="N7" s="6"/>
      <c r="P7" s="69"/>
      <c r="Q7" s="70"/>
    </row>
    <row r="8" spans="1:20" x14ac:dyDescent="0.25">
      <c r="A8" s="49"/>
      <c r="B8" s="2"/>
      <c r="C8" s="2"/>
      <c r="D8" s="2"/>
      <c r="E8" s="2"/>
      <c r="F8" s="32"/>
      <c r="G8" s="32"/>
      <c r="H8" s="2"/>
      <c r="I8" s="2"/>
      <c r="J8" s="4"/>
      <c r="K8" s="4"/>
      <c r="L8" s="48"/>
      <c r="M8" s="40"/>
      <c r="N8" s="1"/>
      <c r="P8" s="69"/>
      <c r="Q8" s="70"/>
    </row>
    <row r="9" spans="1:20" x14ac:dyDescent="0.25">
      <c r="A9" s="47"/>
      <c r="B9" s="16"/>
      <c r="C9" s="17" t="s">
        <v>44</v>
      </c>
      <c r="D9" s="17" t="s">
        <v>47</v>
      </c>
      <c r="E9" s="17"/>
      <c r="F9" s="29"/>
      <c r="G9" s="29"/>
      <c r="H9" s="17"/>
      <c r="I9" s="17"/>
      <c r="J9" s="21">
        <v>5006000000</v>
      </c>
      <c r="K9" s="20"/>
      <c r="L9" s="48"/>
      <c r="M9" s="62"/>
      <c r="N9" s="1"/>
      <c r="P9" s="69"/>
      <c r="Q9" s="70"/>
    </row>
    <row r="10" spans="1:20" x14ac:dyDescent="0.25">
      <c r="A10" s="47">
        <v>3</v>
      </c>
      <c r="B10" s="16" t="s">
        <v>36</v>
      </c>
      <c r="C10" s="16" t="s">
        <v>52</v>
      </c>
      <c r="D10" s="16" t="s">
        <v>14</v>
      </c>
      <c r="E10" s="17" t="s">
        <v>41</v>
      </c>
      <c r="F10" s="33">
        <f>$F$2</f>
        <v>7.0419999999999996E-2</v>
      </c>
      <c r="G10" s="33">
        <v>1.55E-2</v>
      </c>
      <c r="H10" s="22">
        <f>F10+G10</f>
        <v>8.5919999999999996E-2</v>
      </c>
      <c r="I10" s="19">
        <v>43008</v>
      </c>
      <c r="J10" s="20"/>
      <c r="K10" s="20">
        <v>300000000</v>
      </c>
      <c r="L10" s="48"/>
      <c r="M10" s="61">
        <f>SUM(K10*(F10+G10)*92/365)</f>
        <v>6496964.3835616438</v>
      </c>
      <c r="N10" s="28">
        <v>42916</v>
      </c>
      <c r="P10" s="67">
        <f t="shared" si="0"/>
        <v>0</v>
      </c>
      <c r="Q10" s="68">
        <f>SUM(K10*H10*+P10/365)</f>
        <v>0</v>
      </c>
    </row>
    <row r="11" spans="1:20" x14ac:dyDescent="0.25">
      <c r="A11" s="47">
        <v>4</v>
      </c>
      <c r="B11" s="16" t="s">
        <v>36</v>
      </c>
      <c r="C11" s="16" t="s">
        <v>52</v>
      </c>
      <c r="D11" s="16" t="s">
        <v>14</v>
      </c>
      <c r="E11" s="17" t="s">
        <v>41</v>
      </c>
      <c r="F11" s="33">
        <f>$F$2</f>
        <v>7.0419999999999996E-2</v>
      </c>
      <c r="G11" s="33">
        <v>1.6500000000000001E-2</v>
      </c>
      <c r="H11" s="22">
        <f>F11+G11</f>
        <v>8.6919999999999997E-2</v>
      </c>
      <c r="I11" s="19">
        <v>43008</v>
      </c>
      <c r="J11" s="20"/>
      <c r="K11" s="20">
        <v>1000000000</v>
      </c>
      <c r="L11" s="48"/>
      <c r="M11" s="61">
        <f>SUM(K11*(F11+G11)*92/365)</f>
        <v>21908602.739726026</v>
      </c>
      <c r="N11" s="28">
        <v>42916</v>
      </c>
      <c r="P11" s="67">
        <f t="shared" si="0"/>
        <v>0</v>
      </c>
      <c r="Q11" s="68">
        <f>SUM(K11*H11*+P11/365)</f>
        <v>0</v>
      </c>
    </row>
    <row r="12" spans="1:20" x14ac:dyDescent="0.25">
      <c r="A12" s="47">
        <v>5</v>
      </c>
      <c r="B12" s="16" t="s">
        <v>26</v>
      </c>
      <c r="C12" s="16" t="s">
        <v>52</v>
      </c>
      <c r="D12" s="16" t="s">
        <v>15</v>
      </c>
      <c r="E12" s="17" t="s">
        <v>26</v>
      </c>
      <c r="F12" s="29"/>
      <c r="G12" s="29"/>
      <c r="H12" s="26">
        <v>9.7500000000000003E-2</v>
      </c>
      <c r="I12" s="19">
        <v>43008</v>
      </c>
      <c r="J12" s="20"/>
      <c r="K12" s="20">
        <v>1500000000</v>
      </c>
      <c r="L12" s="48"/>
      <c r="M12" s="61">
        <f>SUM(K12*(H12)*92/365)</f>
        <v>36863013.698630139</v>
      </c>
      <c r="N12" s="28">
        <v>42915</v>
      </c>
      <c r="P12" s="67">
        <f t="shared" si="0"/>
        <v>1</v>
      </c>
      <c r="Q12" s="68">
        <f>SUM(K12*H12*+P12/365)</f>
        <v>400684.9315068493</v>
      </c>
    </row>
    <row r="13" spans="1:20" x14ac:dyDescent="0.25">
      <c r="A13" s="47">
        <v>6</v>
      </c>
      <c r="B13" s="16" t="s">
        <v>34</v>
      </c>
      <c r="C13" s="16" t="s">
        <v>13</v>
      </c>
      <c r="D13" s="16" t="s">
        <v>16</v>
      </c>
      <c r="E13" s="17" t="s">
        <v>41</v>
      </c>
      <c r="F13" s="33">
        <f>$F$2</f>
        <v>7.0419999999999996E-2</v>
      </c>
      <c r="G13" s="33">
        <v>1.4999999999999999E-2</v>
      </c>
      <c r="H13" s="22">
        <f>F13+G13</f>
        <v>8.5419999999999996E-2</v>
      </c>
      <c r="I13" s="19">
        <v>43830</v>
      </c>
      <c r="J13" s="20"/>
      <c r="K13" s="20">
        <v>1700000000</v>
      </c>
      <c r="L13" s="48"/>
      <c r="M13" s="61">
        <f>SUM(K13*(F13+G13)*92/365)</f>
        <v>36601884.93150685</v>
      </c>
      <c r="N13" s="28">
        <v>42916</v>
      </c>
      <c r="P13" s="67">
        <f t="shared" si="0"/>
        <v>0</v>
      </c>
      <c r="Q13" s="68">
        <f>SUM(K13*H13*+P13/365)</f>
        <v>0</v>
      </c>
    </row>
    <row r="14" spans="1:20" x14ac:dyDescent="0.25">
      <c r="A14" s="47">
        <v>7</v>
      </c>
      <c r="B14" s="16" t="s">
        <v>34</v>
      </c>
      <c r="C14" s="16" t="s">
        <v>13</v>
      </c>
      <c r="D14" s="16" t="s">
        <v>9</v>
      </c>
      <c r="E14" s="17" t="s">
        <v>41</v>
      </c>
      <c r="F14" s="33">
        <f>$F$2</f>
        <v>7.0419999999999996E-2</v>
      </c>
      <c r="G14" s="33">
        <v>2.4E-2</v>
      </c>
      <c r="H14" s="22">
        <f>F14+G14</f>
        <v>9.4420000000000004E-2</v>
      </c>
      <c r="I14" s="19">
        <v>43808</v>
      </c>
      <c r="J14" s="16"/>
      <c r="K14" s="20">
        <v>295000000</v>
      </c>
      <c r="L14" s="51"/>
      <c r="M14" s="61">
        <f>SUM(K14*(F14+G14)*92/365)</f>
        <v>7020709.0410958901</v>
      </c>
      <c r="N14" s="28">
        <v>42898</v>
      </c>
      <c r="P14" s="67">
        <f t="shared" si="0"/>
        <v>18</v>
      </c>
      <c r="Q14" s="68">
        <f>SUM(K14*H14*+P14/365)</f>
        <v>1373616.98630137</v>
      </c>
    </row>
    <row r="15" spans="1:20" x14ac:dyDescent="0.25">
      <c r="A15" s="49"/>
      <c r="B15" s="2"/>
      <c r="C15" s="2" t="s">
        <v>17</v>
      </c>
      <c r="D15" s="2"/>
      <c r="E15" s="2"/>
      <c r="F15" s="33"/>
      <c r="G15" s="32"/>
      <c r="H15" s="2"/>
      <c r="I15" s="2"/>
      <c r="J15" s="2"/>
      <c r="K15" s="2"/>
      <c r="L15" s="51"/>
      <c r="M15" s="40"/>
      <c r="N15" s="1"/>
      <c r="P15" s="69"/>
      <c r="Q15" s="78">
        <f>SUM(Q10:Q14)</f>
        <v>1774301.9178082193</v>
      </c>
    </row>
    <row r="16" spans="1:20" x14ac:dyDescent="0.25">
      <c r="A16" s="49"/>
      <c r="B16" s="2"/>
      <c r="C16" s="5" t="s">
        <v>11</v>
      </c>
      <c r="D16" s="5"/>
      <c r="E16" s="5"/>
      <c r="F16" s="30" t="s">
        <v>42</v>
      </c>
      <c r="G16" s="59">
        <f>AVERAGE(G10:G14)</f>
        <v>1.7750000000000002E-2</v>
      </c>
      <c r="H16" s="5"/>
      <c r="I16" s="5"/>
      <c r="J16" s="6">
        <f>SUM(J9:J15)</f>
        <v>5006000000</v>
      </c>
      <c r="K16" s="6">
        <f>SUM(K9:K15)</f>
        <v>4795000000</v>
      </c>
      <c r="L16" s="50">
        <f>J16-K16</f>
        <v>211000000</v>
      </c>
      <c r="M16" s="39">
        <f>SUM(M10:M15)</f>
        <v>108891174.79452056</v>
      </c>
      <c r="N16" s="6"/>
      <c r="P16" s="69"/>
      <c r="Q16" s="70"/>
    </row>
    <row r="17" spans="1:17" x14ac:dyDescent="0.25">
      <c r="A17" s="49"/>
      <c r="B17" s="2"/>
      <c r="C17" s="2"/>
      <c r="D17" s="2"/>
      <c r="E17" s="2"/>
      <c r="F17" s="32"/>
      <c r="G17" s="32"/>
      <c r="H17" s="2"/>
      <c r="I17" s="2"/>
      <c r="J17" s="2"/>
      <c r="K17" s="2"/>
      <c r="L17" s="51"/>
      <c r="M17" s="40"/>
      <c r="N17" s="1"/>
      <c r="P17" s="69"/>
      <c r="Q17" s="70"/>
    </row>
    <row r="18" spans="1:17" x14ac:dyDescent="0.25">
      <c r="A18" s="49"/>
      <c r="B18" s="2"/>
      <c r="C18" s="1" t="s">
        <v>45</v>
      </c>
      <c r="D18" s="1" t="s">
        <v>37</v>
      </c>
      <c r="E18" s="1"/>
      <c r="F18" s="31"/>
      <c r="G18" s="31"/>
      <c r="H18" s="1"/>
      <c r="I18" s="1"/>
      <c r="J18" s="3">
        <v>6488000000</v>
      </c>
      <c r="K18" s="2"/>
      <c r="L18" s="51"/>
      <c r="M18" s="40"/>
      <c r="N18" s="1"/>
      <c r="P18" s="69"/>
      <c r="Q18" s="70"/>
    </row>
    <row r="19" spans="1:17" x14ac:dyDescent="0.25">
      <c r="A19" s="47">
        <v>8</v>
      </c>
      <c r="B19" s="16" t="s">
        <v>34</v>
      </c>
      <c r="C19" s="16" t="s">
        <v>13</v>
      </c>
      <c r="D19" s="16" t="s">
        <v>9</v>
      </c>
      <c r="E19" s="17" t="s">
        <v>41</v>
      </c>
      <c r="F19" s="33">
        <f>$F$2</f>
        <v>7.0419999999999996E-2</v>
      </c>
      <c r="G19" s="33">
        <v>2.4E-2</v>
      </c>
      <c r="H19" s="22">
        <f>F19+G19</f>
        <v>9.4420000000000004E-2</v>
      </c>
      <c r="I19" s="19">
        <v>43808</v>
      </c>
      <c r="J19" s="16"/>
      <c r="K19" s="20">
        <v>450000000</v>
      </c>
      <c r="L19" s="51"/>
      <c r="M19" s="61">
        <f t="shared" ref="M19:M22" si="1">SUM(K19*(F19+G19)*92/365)</f>
        <v>10709556.164383562</v>
      </c>
      <c r="N19" s="28">
        <v>42898</v>
      </c>
      <c r="P19" s="67">
        <f t="shared" si="0"/>
        <v>18</v>
      </c>
      <c r="Q19" s="68">
        <f t="shared" ref="Q19:Q22" si="2">SUM(K19*H19*+P19/365)</f>
        <v>2095347.9452054794</v>
      </c>
    </row>
    <row r="20" spans="1:17" x14ac:dyDescent="0.25">
      <c r="A20" s="49">
        <v>9</v>
      </c>
      <c r="B20" s="2" t="s">
        <v>34</v>
      </c>
      <c r="C20" s="2" t="s">
        <v>20</v>
      </c>
      <c r="D20" s="2" t="s">
        <v>73</v>
      </c>
      <c r="E20" s="17" t="s">
        <v>41</v>
      </c>
      <c r="F20" s="33">
        <f t="shared" ref="F20:F22" si="3">$F$2</f>
        <v>7.0419999999999996E-2</v>
      </c>
      <c r="G20" s="33">
        <v>1.7999999999999999E-2</v>
      </c>
      <c r="H20" s="22">
        <f>F20+G20</f>
        <v>8.8419999999999999E-2</v>
      </c>
      <c r="I20" s="8">
        <v>44681</v>
      </c>
      <c r="J20" s="2"/>
      <c r="K20" s="4">
        <v>1500000000</v>
      </c>
      <c r="L20" s="51"/>
      <c r="M20" s="61">
        <f t="shared" si="1"/>
        <v>33430027.397260275</v>
      </c>
      <c r="N20" s="28">
        <v>42853</v>
      </c>
      <c r="P20" s="67">
        <f t="shared" si="0"/>
        <v>63</v>
      </c>
      <c r="Q20" s="68">
        <f t="shared" si="2"/>
        <v>22892301.369863015</v>
      </c>
    </row>
    <row r="21" spans="1:17" x14ac:dyDescent="0.25">
      <c r="A21" s="49">
        <v>10</v>
      </c>
      <c r="B21" s="2" t="s">
        <v>34</v>
      </c>
      <c r="C21" s="2" t="s">
        <v>55</v>
      </c>
      <c r="D21" s="2" t="s">
        <v>72</v>
      </c>
      <c r="E21" s="17" t="s">
        <v>41</v>
      </c>
      <c r="F21" s="33">
        <f t="shared" si="3"/>
        <v>7.0419999999999996E-2</v>
      </c>
      <c r="G21" s="33">
        <v>0.02</v>
      </c>
      <c r="H21" s="22">
        <f>F21+G21</f>
        <v>9.042E-2</v>
      </c>
      <c r="I21" s="8">
        <v>44176</v>
      </c>
      <c r="J21" s="2"/>
      <c r="K21" s="4">
        <v>1500000000</v>
      </c>
      <c r="L21" s="51"/>
      <c r="M21" s="61">
        <f t="shared" si="1"/>
        <v>34186191.780821919</v>
      </c>
      <c r="N21" s="28">
        <v>42912</v>
      </c>
      <c r="P21" s="67">
        <f t="shared" si="0"/>
        <v>4</v>
      </c>
      <c r="Q21" s="68">
        <f t="shared" si="2"/>
        <v>1486356.1643835616</v>
      </c>
    </row>
    <row r="22" spans="1:17" x14ac:dyDescent="0.25">
      <c r="A22" s="49">
        <v>11</v>
      </c>
      <c r="B22" s="2" t="s">
        <v>49</v>
      </c>
      <c r="C22" s="2" t="s">
        <v>51</v>
      </c>
      <c r="D22" s="2" t="s">
        <v>71</v>
      </c>
      <c r="E22" s="17" t="s">
        <v>41</v>
      </c>
      <c r="F22" s="33">
        <f t="shared" si="3"/>
        <v>7.0419999999999996E-2</v>
      </c>
      <c r="G22" s="33">
        <v>2.0500000000000001E-2</v>
      </c>
      <c r="H22" s="22">
        <f t="shared" ref="H22" si="4">F22+G22</f>
        <v>9.0920000000000001E-2</v>
      </c>
      <c r="I22" s="8">
        <v>43008</v>
      </c>
      <c r="J22" s="2"/>
      <c r="K22" s="4">
        <v>1000000000</v>
      </c>
      <c r="L22" s="51"/>
      <c r="M22" s="61">
        <f t="shared" si="1"/>
        <v>22916821.91780822</v>
      </c>
      <c r="N22" s="60">
        <v>42916</v>
      </c>
      <c r="P22" s="67">
        <f t="shared" ref="P22" si="5">$P$1-N22</f>
        <v>0</v>
      </c>
      <c r="Q22" s="68">
        <f t="shared" si="2"/>
        <v>0</v>
      </c>
    </row>
    <row r="23" spans="1:17" x14ac:dyDescent="0.25">
      <c r="A23" s="49"/>
      <c r="B23" s="2"/>
      <c r="C23" s="2"/>
      <c r="D23" s="2"/>
      <c r="E23" s="2"/>
      <c r="F23" s="2"/>
      <c r="G23" s="2"/>
      <c r="H23" s="2"/>
      <c r="I23" s="2"/>
      <c r="J23" s="2"/>
      <c r="K23" s="2"/>
      <c r="L23" s="51"/>
      <c r="M23" s="40"/>
      <c r="N23" s="1"/>
      <c r="P23" s="69"/>
      <c r="Q23" s="78">
        <f>SUM(Q19:Q22)</f>
        <v>26474005.479452055</v>
      </c>
    </row>
    <row r="24" spans="1:17" x14ac:dyDescent="0.25">
      <c r="A24" s="49"/>
      <c r="B24" s="2"/>
      <c r="C24" s="5" t="s">
        <v>11</v>
      </c>
      <c r="D24" s="5"/>
      <c r="E24" s="5"/>
      <c r="F24" s="30" t="s">
        <v>42</v>
      </c>
      <c r="G24" s="59">
        <f>AVERAGE(G19:G22)</f>
        <v>2.0625000000000001E-2</v>
      </c>
      <c r="H24" s="5"/>
      <c r="I24" s="5"/>
      <c r="J24" s="6">
        <f>SUM(J17:J22)</f>
        <v>6488000000</v>
      </c>
      <c r="K24" s="6">
        <f>SUM(K17:K22)</f>
        <v>4450000000</v>
      </c>
      <c r="L24" s="50">
        <f>J24-K24</f>
        <v>2038000000</v>
      </c>
      <c r="M24" s="39">
        <f>SUM(M19:M22)</f>
        <v>101242597.26027398</v>
      </c>
      <c r="N24" s="6"/>
      <c r="P24" s="69"/>
      <c r="Q24" s="70"/>
    </row>
    <row r="25" spans="1:17" x14ac:dyDescent="0.25">
      <c r="A25" s="49"/>
      <c r="B25" s="2"/>
      <c r="C25" s="17"/>
      <c r="D25" s="17"/>
      <c r="E25" s="17"/>
      <c r="F25" s="29"/>
      <c r="G25" s="33"/>
      <c r="H25" s="17"/>
      <c r="I25" s="17"/>
      <c r="J25" s="21"/>
      <c r="K25" s="21"/>
      <c r="L25" s="64"/>
      <c r="M25" s="65"/>
      <c r="N25" s="21"/>
      <c r="P25" s="69"/>
      <c r="Q25" s="70"/>
    </row>
    <row r="26" spans="1:17" x14ac:dyDescent="0.25">
      <c r="A26" s="49"/>
      <c r="B26" s="2"/>
      <c r="C26" s="1" t="s">
        <v>53</v>
      </c>
      <c r="D26" s="1" t="s">
        <v>54</v>
      </c>
      <c r="E26" s="1"/>
      <c r="F26" s="31"/>
      <c r="G26" s="31"/>
      <c r="H26" s="1"/>
      <c r="I26" s="1"/>
      <c r="J26" s="3">
        <v>4720000000</v>
      </c>
      <c r="K26" s="2"/>
      <c r="L26" s="51"/>
      <c r="M26" s="40"/>
      <c r="N26" s="1"/>
    </row>
    <row r="27" spans="1:17" x14ac:dyDescent="0.25">
      <c r="A27" s="49">
        <v>12</v>
      </c>
      <c r="B27" s="2" t="s">
        <v>49</v>
      </c>
      <c r="C27" s="2" t="s">
        <v>60</v>
      </c>
      <c r="D27" s="2" t="s">
        <v>71</v>
      </c>
      <c r="E27" s="17" t="s">
        <v>41</v>
      </c>
      <c r="F27" s="33">
        <f t="shared" ref="F27:F34" si="6">$F$2</f>
        <v>7.0419999999999996E-2</v>
      </c>
      <c r="G27" s="33">
        <v>2.0500000000000001E-2</v>
      </c>
      <c r="H27" s="22">
        <f t="shared" ref="H27" si="7">F27+G27</f>
        <v>9.0920000000000001E-2</v>
      </c>
      <c r="I27" s="8">
        <v>43008</v>
      </c>
      <c r="J27" s="2"/>
      <c r="K27" s="4">
        <f>98059598+196119196+195641947.11</f>
        <v>489820741.11000001</v>
      </c>
      <c r="L27" s="51"/>
      <c r="M27" s="61">
        <f>SUM(K27*(F27+G27)*92/365)</f>
        <v>11225134.695666714</v>
      </c>
      <c r="N27" s="28">
        <v>42916</v>
      </c>
      <c r="P27" s="67">
        <f t="shared" ref="P27:P34" si="8">$P$1-N27</f>
        <v>0</v>
      </c>
      <c r="Q27" s="68">
        <f t="shared" ref="Q27:Q34" si="9">SUM(K27*H27*+P27/365)</f>
        <v>0</v>
      </c>
    </row>
    <row r="28" spans="1:17" x14ac:dyDescent="0.25">
      <c r="A28" s="49">
        <v>13</v>
      </c>
      <c r="B28" s="2" t="s">
        <v>49</v>
      </c>
      <c r="C28" s="2" t="s">
        <v>60</v>
      </c>
      <c r="D28" s="2" t="s">
        <v>69</v>
      </c>
      <c r="E28" s="17" t="s">
        <v>41</v>
      </c>
      <c r="F28" s="33">
        <f t="shared" si="6"/>
        <v>7.0419999999999996E-2</v>
      </c>
      <c r="G28" s="33">
        <v>0.02</v>
      </c>
      <c r="H28" s="22">
        <f t="shared" ref="H28:H34" si="10">F28+G28</f>
        <v>9.042E-2</v>
      </c>
      <c r="I28" s="8">
        <v>43008</v>
      </c>
      <c r="J28" s="2"/>
      <c r="K28" s="4">
        <f>51975052+103950104+103950104</f>
        <v>259875260</v>
      </c>
      <c r="L28" s="51"/>
      <c r="M28" s="61">
        <f t="shared" ref="M28:M34" si="11">SUM(K28*(F28+G28)*92/365)</f>
        <v>5922763.6516339723</v>
      </c>
      <c r="N28" s="28">
        <v>42916</v>
      </c>
      <c r="P28" s="67">
        <f t="shared" si="8"/>
        <v>0</v>
      </c>
      <c r="Q28" s="68">
        <f t="shared" si="9"/>
        <v>0</v>
      </c>
    </row>
    <row r="29" spans="1:17" x14ac:dyDescent="0.25">
      <c r="A29" s="49">
        <v>14</v>
      </c>
      <c r="B29" s="2" t="s">
        <v>49</v>
      </c>
      <c r="C29" s="2" t="s">
        <v>60</v>
      </c>
      <c r="D29" s="2" t="s">
        <v>73</v>
      </c>
      <c r="E29" s="17" t="s">
        <v>61</v>
      </c>
      <c r="F29" s="33">
        <v>6.8169999999999994E-2</v>
      </c>
      <c r="G29" s="33">
        <v>0.03</v>
      </c>
      <c r="H29" s="22">
        <f t="shared" si="10"/>
        <v>9.8169999999999993E-2</v>
      </c>
      <c r="I29" s="8">
        <v>43008</v>
      </c>
      <c r="J29" s="2"/>
      <c r="K29" s="4">
        <f>51975052+103950104+103950104</f>
        <v>259875260</v>
      </c>
      <c r="L29" s="51"/>
      <c r="M29" s="61">
        <f t="shared" si="11"/>
        <v>6430410.3924010955</v>
      </c>
      <c r="N29" s="28">
        <v>42916</v>
      </c>
      <c r="P29" s="67">
        <f t="shared" si="8"/>
        <v>0</v>
      </c>
      <c r="Q29" s="68">
        <f t="shared" si="9"/>
        <v>0</v>
      </c>
    </row>
    <row r="30" spans="1:17" x14ac:dyDescent="0.25">
      <c r="A30" s="49">
        <v>15</v>
      </c>
      <c r="B30" s="2" t="s">
        <v>49</v>
      </c>
      <c r="C30" s="2" t="s">
        <v>60</v>
      </c>
      <c r="D30" s="2" t="s">
        <v>70</v>
      </c>
      <c r="E30" s="17" t="s">
        <v>61</v>
      </c>
      <c r="F30" s="33">
        <v>6.8169999999999994E-2</v>
      </c>
      <c r="G30" s="33">
        <v>2.1000000000000001E-2</v>
      </c>
      <c r="H30" s="22">
        <f t="shared" si="10"/>
        <v>8.9169999999999999E-2</v>
      </c>
      <c r="I30" s="8">
        <v>43008</v>
      </c>
      <c r="J30" s="2"/>
      <c r="K30" s="4">
        <f>114345114+228690229+228690229</f>
        <v>571725572</v>
      </c>
      <c r="L30" s="51"/>
      <c r="M30" s="61">
        <f t="shared" si="11"/>
        <v>12849947.319128988</v>
      </c>
      <c r="N30" s="28">
        <v>42916</v>
      </c>
      <c r="P30" s="67">
        <f t="shared" si="8"/>
        <v>0</v>
      </c>
      <c r="Q30" s="68">
        <f t="shared" si="9"/>
        <v>0</v>
      </c>
    </row>
    <row r="31" spans="1:17" x14ac:dyDescent="0.25">
      <c r="A31" s="49">
        <v>16</v>
      </c>
      <c r="B31" s="2" t="s">
        <v>49</v>
      </c>
      <c r="C31" s="2" t="s">
        <v>60</v>
      </c>
      <c r="D31" s="2" t="s">
        <v>72</v>
      </c>
      <c r="E31" s="17" t="s">
        <v>41</v>
      </c>
      <c r="F31" s="33">
        <f t="shared" si="6"/>
        <v>7.0419999999999996E-2</v>
      </c>
      <c r="G31" s="33">
        <v>1.7000000000000001E-2</v>
      </c>
      <c r="H31" s="22">
        <f t="shared" si="10"/>
        <v>8.7419999999999998E-2</v>
      </c>
      <c r="I31" s="8">
        <v>43008</v>
      </c>
      <c r="J31" s="2"/>
      <c r="K31" s="4">
        <f>17325017+77962578+77962577.96</f>
        <v>173250172.95999998</v>
      </c>
      <c r="L31" s="51"/>
      <c r="M31" s="61">
        <f t="shared" si="11"/>
        <v>3817503.4823425049</v>
      </c>
      <c r="N31" s="28">
        <v>42916</v>
      </c>
      <c r="P31" s="67">
        <f t="shared" si="8"/>
        <v>0</v>
      </c>
      <c r="Q31" s="68">
        <f t="shared" si="9"/>
        <v>0</v>
      </c>
    </row>
    <row r="32" spans="1:17" x14ac:dyDescent="0.25">
      <c r="A32" s="49">
        <v>17</v>
      </c>
      <c r="B32" s="2" t="s">
        <v>49</v>
      </c>
      <c r="C32" s="2" t="s">
        <v>60</v>
      </c>
      <c r="D32" s="2" t="s">
        <v>68</v>
      </c>
      <c r="E32" s="17" t="s">
        <v>61</v>
      </c>
      <c r="F32" s="33">
        <v>6.8169999999999994E-2</v>
      </c>
      <c r="G32" s="33">
        <v>2.5999999999999999E-2</v>
      </c>
      <c r="H32" s="22">
        <f t="shared" si="10"/>
        <v>9.416999999999999E-2</v>
      </c>
      <c r="I32" s="8">
        <v>43008</v>
      </c>
      <c r="J32" s="2"/>
      <c r="K32" s="4">
        <f>53707554+107415107+107415107</f>
        <v>268537768</v>
      </c>
      <c r="L32" s="51"/>
      <c r="M32" s="61">
        <f t="shared" si="11"/>
        <v>6374012.4612479992</v>
      </c>
      <c r="N32" s="28">
        <v>42916</v>
      </c>
      <c r="P32" s="67">
        <f t="shared" si="8"/>
        <v>0</v>
      </c>
      <c r="Q32" s="68">
        <f t="shared" si="9"/>
        <v>0</v>
      </c>
    </row>
    <row r="33" spans="1:17" x14ac:dyDescent="0.25">
      <c r="A33" s="49">
        <v>18</v>
      </c>
      <c r="B33" s="2" t="s">
        <v>49</v>
      </c>
      <c r="C33" s="2" t="s">
        <v>60</v>
      </c>
      <c r="D33" s="2" t="s">
        <v>74</v>
      </c>
      <c r="E33" s="17" t="s">
        <v>41</v>
      </c>
      <c r="F33" s="33">
        <f t="shared" si="6"/>
        <v>7.0419999999999996E-2</v>
      </c>
      <c r="G33" s="33">
        <v>1.8499999999999999E-2</v>
      </c>
      <c r="H33" s="22">
        <f t="shared" si="10"/>
        <v>8.8919999999999999E-2</v>
      </c>
      <c r="I33" s="8">
        <v>43008</v>
      </c>
      <c r="J33" s="2"/>
      <c r="K33" s="4">
        <f>21656272+43312543+43312543.31</f>
        <v>108281358.31</v>
      </c>
      <c r="L33" s="51"/>
      <c r="M33" s="61">
        <f t="shared" si="11"/>
        <v>2426878.9343701876</v>
      </c>
      <c r="N33" s="28">
        <v>42916</v>
      </c>
      <c r="P33" s="67">
        <f t="shared" si="8"/>
        <v>0</v>
      </c>
      <c r="Q33" s="68">
        <f t="shared" si="9"/>
        <v>0</v>
      </c>
    </row>
    <row r="34" spans="1:17" x14ac:dyDescent="0.25">
      <c r="A34" s="49">
        <v>19</v>
      </c>
      <c r="B34" s="2" t="s">
        <v>49</v>
      </c>
      <c r="C34" s="2" t="s">
        <v>60</v>
      </c>
      <c r="D34" s="2" t="s">
        <v>75</v>
      </c>
      <c r="E34" s="17" t="s">
        <v>41</v>
      </c>
      <c r="F34" s="33">
        <f t="shared" si="6"/>
        <v>7.0419999999999996E-2</v>
      </c>
      <c r="G34" s="33">
        <v>2.5000000000000001E-2</v>
      </c>
      <c r="H34" s="22">
        <f t="shared" si="10"/>
        <v>9.5420000000000005E-2</v>
      </c>
      <c r="I34" s="8">
        <v>43008</v>
      </c>
      <c r="J34" s="2"/>
      <c r="K34" s="4">
        <f>21656272</f>
        <v>21656272</v>
      </c>
      <c r="L34" s="51"/>
      <c r="M34" s="61">
        <f t="shared" si="11"/>
        <v>520856.48117830139</v>
      </c>
      <c r="N34" s="28">
        <v>42916</v>
      </c>
      <c r="P34" s="67">
        <f t="shared" si="8"/>
        <v>0</v>
      </c>
      <c r="Q34" s="68">
        <f t="shared" si="9"/>
        <v>0</v>
      </c>
    </row>
    <row r="35" spans="1:17" x14ac:dyDescent="0.25">
      <c r="A35" s="49">
        <v>20</v>
      </c>
      <c r="B35" s="2" t="s">
        <v>58</v>
      </c>
      <c r="C35" s="2" t="s">
        <v>58</v>
      </c>
      <c r="D35" s="2" t="s">
        <v>57</v>
      </c>
      <c r="E35" s="17" t="s">
        <v>56</v>
      </c>
      <c r="F35" s="33"/>
      <c r="G35" s="33"/>
      <c r="H35" s="22">
        <v>9.7699999999999995E-2</v>
      </c>
      <c r="I35" s="8">
        <v>43008</v>
      </c>
      <c r="J35" s="2"/>
      <c r="K35" s="20">
        <v>830000000</v>
      </c>
      <c r="L35" s="51"/>
      <c r="M35" s="61">
        <f t="shared" ref="M35" si="12">SUM(K35*(F35+G35)*92/365)</f>
        <v>0</v>
      </c>
      <c r="N35" s="28">
        <v>42916</v>
      </c>
      <c r="P35" s="67">
        <f t="shared" ref="P35" si="13">$P$1-N35</f>
        <v>0</v>
      </c>
      <c r="Q35" s="68">
        <v>765917.82</v>
      </c>
    </row>
    <row r="36" spans="1:17" x14ac:dyDescent="0.25">
      <c r="A36" s="49">
        <v>21</v>
      </c>
      <c r="B36" s="2" t="s">
        <v>65</v>
      </c>
      <c r="C36" s="2" t="s">
        <v>64</v>
      </c>
      <c r="D36" s="2" t="s">
        <v>57</v>
      </c>
      <c r="E36" s="17"/>
      <c r="F36" s="33"/>
      <c r="G36" s="33"/>
      <c r="H36" s="22"/>
      <c r="I36" s="8">
        <v>43218</v>
      </c>
      <c r="J36" s="2"/>
      <c r="K36" s="20">
        <v>521800000</v>
      </c>
      <c r="L36" s="51"/>
      <c r="M36" s="61"/>
      <c r="N36" s="76"/>
      <c r="P36" s="67"/>
      <c r="Q36" s="68"/>
    </row>
    <row r="37" spans="1:17" x14ac:dyDescent="0.25">
      <c r="A37" s="49">
        <v>22</v>
      </c>
      <c r="B37" s="2" t="s">
        <v>65</v>
      </c>
      <c r="C37" s="2" t="s">
        <v>63</v>
      </c>
      <c r="D37" s="2" t="s">
        <v>57</v>
      </c>
      <c r="E37" s="17"/>
      <c r="F37" s="33"/>
      <c r="G37" s="33"/>
      <c r="H37" s="22"/>
      <c r="I37" s="8">
        <v>43218</v>
      </c>
      <c r="J37" s="2"/>
      <c r="K37" s="20">
        <v>768000000</v>
      </c>
      <c r="L37" s="75"/>
      <c r="M37" s="61"/>
      <c r="N37" s="76"/>
      <c r="P37" s="69"/>
      <c r="Q37" s="70"/>
    </row>
    <row r="38" spans="1:17" x14ac:dyDescent="0.25">
      <c r="A38" s="49"/>
      <c r="B38" s="2"/>
      <c r="C38" s="5" t="s">
        <v>11</v>
      </c>
      <c r="D38" s="5"/>
      <c r="E38" s="5"/>
      <c r="F38" s="30" t="s">
        <v>42</v>
      </c>
      <c r="G38" s="59">
        <f>AVERAGE(G27:G37)</f>
        <v>2.2249999999999999E-2</v>
      </c>
      <c r="H38" s="5"/>
      <c r="I38" s="5"/>
      <c r="J38" s="6">
        <f>SUM(J26:J37)</f>
        <v>4720000000</v>
      </c>
      <c r="K38" s="6">
        <f>SUM(K27:K37)</f>
        <v>4272822404.3800001</v>
      </c>
      <c r="L38" s="50">
        <f>J38-K38</f>
        <v>447177595.61999989</v>
      </c>
      <c r="M38" s="39">
        <f>SUM(M25:M37)</f>
        <v>49567507.417969763</v>
      </c>
      <c r="N38" s="6"/>
      <c r="Q38" s="77">
        <f>SUM(Q27:Q37)</f>
        <v>765917.82</v>
      </c>
    </row>
    <row r="39" spans="1:17" ht="15.75" thickBot="1" x14ac:dyDescent="0.3">
      <c r="A39" s="49"/>
      <c r="B39" s="2"/>
      <c r="C39" s="2"/>
      <c r="D39" s="2"/>
      <c r="E39" s="2"/>
      <c r="F39" s="2"/>
      <c r="G39" s="2"/>
      <c r="H39" s="2"/>
      <c r="I39" s="2"/>
      <c r="J39" s="2"/>
      <c r="K39" s="2"/>
      <c r="L39" s="51"/>
      <c r="M39" s="40"/>
      <c r="N39" s="1"/>
    </row>
    <row r="40" spans="1:17" ht="15.75" thickBot="1" x14ac:dyDescent="0.3">
      <c r="A40" s="49"/>
      <c r="B40" s="2"/>
      <c r="C40" s="5" t="s">
        <v>18</v>
      </c>
      <c r="D40" s="5"/>
      <c r="E40" s="5" t="s">
        <v>21</v>
      </c>
      <c r="F40" s="5"/>
      <c r="G40" s="5"/>
      <c r="H40" s="11">
        <f>AVERAGE(H37,H34,H33,H32,H31,H30,H29,H28,H27,H22,H21,H20,H19,H14,H13,H11,H10,H6,H2)</f>
        <v>9.3406111111111106E-2</v>
      </c>
      <c r="I40" s="5"/>
      <c r="J40" s="9">
        <f>SUM(J3,J7,J16,J24,J38)</f>
        <v>19114000000</v>
      </c>
      <c r="K40" s="9">
        <f>SUM(K3,K7,K16,K24,K38)</f>
        <v>16413822404.380001</v>
      </c>
      <c r="L40" s="79">
        <f>SUM(L3,L7,L16,L24,L38)</f>
        <v>2700177595.6199999</v>
      </c>
      <c r="M40" s="41">
        <f>SUM(M2,M6,M16,M24,M38)</f>
        <v>328700159.47276431</v>
      </c>
      <c r="N40" s="9">
        <f>SUM(N3,N7,N16,N24)</f>
        <v>0</v>
      </c>
      <c r="Q40" s="72">
        <f>Q38+Q23+Q15+Q6+Q2</f>
        <v>33926652.066575341</v>
      </c>
    </row>
    <row r="41" spans="1:17" x14ac:dyDescent="0.25">
      <c r="A41" s="49"/>
      <c r="B41" s="2"/>
      <c r="C41" s="2"/>
      <c r="D41" s="2"/>
      <c r="E41" s="2"/>
      <c r="F41" s="2"/>
      <c r="G41" s="2"/>
      <c r="H41" s="2"/>
      <c r="I41" s="2"/>
      <c r="J41" s="9">
        <f>-K40</f>
        <v>-16413822404.380001</v>
      </c>
      <c r="K41" s="14" t="s">
        <v>17</v>
      </c>
      <c r="L41" s="51"/>
      <c r="M41" s="40"/>
      <c r="N41" s="1"/>
    </row>
    <row r="42" spans="1:17" ht="15.75" thickBot="1" x14ac:dyDescent="0.3">
      <c r="A42" s="52"/>
      <c r="B42" s="53"/>
      <c r="C42" s="54" t="s">
        <v>48</v>
      </c>
      <c r="D42" s="58"/>
      <c r="E42" s="58"/>
      <c r="F42" s="58"/>
      <c r="G42" s="58"/>
      <c r="H42" s="58"/>
      <c r="I42" s="58"/>
      <c r="J42" s="55">
        <f>SUM(J40:J41)</f>
        <v>2700177595.6199989</v>
      </c>
      <c r="K42" s="56" t="s">
        <v>17</v>
      </c>
      <c r="L42" s="57"/>
      <c r="M42" s="40"/>
      <c r="N42" s="1"/>
    </row>
    <row r="43" spans="1:17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7" x14ac:dyDescent="0.25">
      <c r="K44" s="74">
        <f>SUM(K27:K34)</f>
        <v>2153022404.3800001</v>
      </c>
    </row>
  </sheetData>
  <sortState ref="B35:H40">
    <sortCondition ref="E35:E40"/>
  </sortState>
  <pageMargins left="0.11811023622047245" right="0.11811023622047245" top="0.74803149606299213" bottom="0.15748031496062992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="78" zoomScaleNormal="78" workbookViewId="0">
      <selection activeCell="B12" sqref="B12"/>
    </sheetView>
  </sheetViews>
  <sheetFormatPr defaultRowHeight="15" x14ac:dyDescent="0.25"/>
  <cols>
    <col min="1" max="1" width="3.42578125" bestFit="1" customWidth="1"/>
    <col min="2" max="2" width="20.85546875" bestFit="1" customWidth="1"/>
    <col min="3" max="3" width="13.85546875" customWidth="1"/>
    <col min="4" max="4" width="19" bestFit="1" customWidth="1"/>
    <col min="5" max="5" width="11.5703125" customWidth="1"/>
    <col min="6" max="6" width="3.140625" hidden="1" customWidth="1"/>
    <col min="7" max="7" width="2.85546875" customWidth="1"/>
    <col min="8" max="8" width="11.140625" hidden="1" customWidth="1"/>
    <col min="9" max="9" width="15.140625" bestFit="1" customWidth="1"/>
    <col min="10" max="10" width="11.140625" bestFit="1" customWidth="1"/>
    <col min="11" max="12" width="15.140625" bestFit="1" customWidth="1"/>
    <col min="13" max="13" width="11.140625" bestFit="1" customWidth="1"/>
    <col min="14" max="14" width="15.140625" bestFit="1" customWidth="1"/>
    <col min="15" max="15" width="16.28515625" bestFit="1" customWidth="1"/>
  </cols>
  <sheetData>
    <row r="1" spans="1:15" ht="33" customHeight="1" x14ac:dyDescent="0.25">
      <c r="A1" s="25"/>
      <c r="B1" s="5" t="s">
        <v>22</v>
      </c>
      <c r="C1" s="80" t="s">
        <v>50</v>
      </c>
      <c r="D1" s="5" t="s">
        <v>23</v>
      </c>
      <c r="E1" s="13" t="s">
        <v>5</v>
      </c>
      <c r="F1" s="13"/>
      <c r="G1" s="13"/>
      <c r="H1" s="13" t="s">
        <v>27</v>
      </c>
      <c r="I1" s="13" t="s">
        <v>28</v>
      </c>
      <c r="J1" s="13" t="s">
        <v>29</v>
      </c>
      <c r="K1" s="13" t="s">
        <v>30</v>
      </c>
      <c r="L1" s="13" t="s">
        <v>31</v>
      </c>
      <c r="M1" s="13" t="s">
        <v>32</v>
      </c>
      <c r="N1" s="13" t="s">
        <v>33</v>
      </c>
      <c r="O1" s="13" t="s">
        <v>24</v>
      </c>
    </row>
    <row r="2" spans="1:15" x14ac:dyDescent="0.25">
      <c r="A2" s="25">
        <v>1</v>
      </c>
      <c r="B2" s="17" t="s">
        <v>68</v>
      </c>
      <c r="C2" s="18">
        <f>'GTEES VS loans'!H10</f>
        <v>8.5919999999999996E-2</v>
      </c>
      <c r="D2" s="14">
        <v>300000000</v>
      </c>
      <c r="E2" s="8">
        <v>43008</v>
      </c>
      <c r="F2" s="8"/>
      <c r="G2" s="8"/>
      <c r="H2" s="4">
        <v>0</v>
      </c>
      <c r="I2" s="4">
        <v>300000000</v>
      </c>
      <c r="J2" s="4"/>
      <c r="K2" s="14"/>
      <c r="L2" s="14"/>
      <c r="M2" s="14"/>
      <c r="N2" s="14"/>
      <c r="O2" s="27">
        <f>SUM(H2:N2)</f>
        <v>300000000</v>
      </c>
    </row>
    <row r="3" spans="1:15" x14ac:dyDescent="0.25">
      <c r="A3" s="25">
        <v>2</v>
      </c>
      <c r="B3" s="17" t="s">
        <v>68</v>
      </c>
      <c r="C3" s="18">
        <f>'GTEES VS loans'!H11</f>
        <v>8.6919999999999997E-2</v>
      </c>
      <c r="D3" s="14">
        <v>1000000000</v>
      </c>
      <c r="E3" s="8">
        <v>43008</v>
      </c>
      <c r="F3" s="8"/>
      <c r="G3" s="8"/>
      <c r="H3" s="4">
        <v>0</v>
      </c>
      <c r="I3" s="4">
        <v>1000000000</v>
      </c>
      <c r="J3" s="4"/>
      <c r="K3" s="14"/>
      <c r="L3" s="14"/>
      <c r="M3" s="14"/>
      <c r="N3" s="14"/>
      <c r="O3" s="27">
        <f>SUM(H3:N3)</f>
        <v>1000000000</v>
      </c>
    </row>
    <row r="4" spans="1:15" x14ac:dyDescent="0.25">
      <c r="A4" s="25">
        <v>3</v>
      </c>
      <c r="B4" s="1" t="s">
        <v>69</v>
      </c>
      <c r="C4" s="18">
        <v>9.7500000000000003E-2</v>
      </c>
      <c r="D4" s="14">
        <v>1500000000</v>
      </c>
      <c r="E4" s="8">
        <v>43008</v>
      </c>
      <c r="F4" s="8"/>
      <c r="G4" s="8"/>
      <c r="H4" s="4">
        <v>0</v>
      </c>
      <c r="I4" s="4">
        <f>D4</f>
        <v>1500000000</v>
      </c>
      <c r="J4" s="4"/>
      <c r="K4" s="14"/>
      <c r="L4" s="14"/>
      <c r="M4" s="14"/>
      <c r="N4" s="14"/>
      <c r="O4" s="27">
        <f>SUM(H4:N4)</f>
        <v>1500000000</v>
      </c>
    </row>
    <row r="5" spans="1:15" x14ac:dyDescent="0.25">
      <c r="A5" s="25">
        <v>4</v>
      </c>
      <c r="B5" s="1" t="s">
        <v>70</v>
      </c>
      <c r="C5" s="18">
        <f>'GTEES VS loans'!H2</f>
        <v>0.13541999999999998</v>
      </c>
      <c r="D5" s="24">
        <v>1300000000</v>
      </c>
      <c r="E5" s="63" t="s">
        <v>10</v>
      </c>
      <c r="F5" s="19"/>
      <c r="G5" s="19"/>
      <c r="H5" s="4">
        <v>0</v>
      </c>
      <c r="I5" s="14"/>
      <c r="J5" s="14"/>
      <c r="K5" s="14"/>
      <c r="L5" s="14"/>
      <c r="M5" s="14"/>
      <c r="N5" s="14">
        <v>1300000000</v>
      </c>
      <c r="O5" s="27">
        <f>SUM(H5:N5)</f>
        <v>1300000000</v>
      </c>
    </row>
    <row r="6" spans="1:15" x14ac:dyDescent="0.25">
      <c r="A6" s="25">
        <v>5</v>
      </c>
      <c r="B6" s="17" t="s">
        <v>71</v>
      </c>
      <c r="C6" s="18">
        <f>'GTEES VS loans'!H22</f>
        <v>9.0920000000000001E-2</v>
      </c>
      <c r="D6" s="14">
        <v>1000000000</v>
      </c>
      <c r="E6" s="8">
        <v>43008</v>
      </c>
      <c r="F6" s="8"/>
      <c r="G6" s="8"/>
      <c r="H6" s="4">
        <v>0</v>
      </c>
      <c r="I6" s="14">
        <v>1000000000</v>
      </c>
      <c r="J6" s="14"/>
      <c r="K6" s="14"/>
      <c r="L6" s="14"/>
      <c r="M6" s="14"/>
      <c r="N6" s="14"/>
      <c r="O6" s="27">
        <f>D6</f>
        <v>1000000000</v>
      </c>
    </row>
    <row r="7" spans="1:15" x14ac:dyDescent="0.25">
      <c r="A7" s="25">
        <v>6</v>
      </c>
      <c r="B7" s="17" t="s">
        <v>70</v>
      </c>
      <c r="C7" s="18">
        <f>'GTEES VS loans'!H19</f>
        <v>9.4420000000000004E-2</v>
      </c>
      <c r="D7" s="24">
        <v>1800000000</v>
      </c>
      <c r="E7" s="19">
        <v>43808</v>
      </c>
      <c r="F7" s="19"/>
      <c r="G7" s="19"/>
      <c r="H7" s="4">
        <v>0</v>
      </c>
      <c r="I7" s="14"/>
      <c r="J7" s="14"/>
      <c r="K7" s="14">
        <f>D7</f>
        <v>1800000000</v>
      </c>
      <c r="L7" s="14"/>
      <c r="M7" s="14"/>
      <c r="N7" s="14"/>
      <c r="O7" s="27">
        <f t="shared" ref="O7:O11" si="0">SUM(H7:N7)</f>
        <v>1800000000</v>
      </c>
    </row>
    <row r="8" spans="1:15" x14ac:dyDescent="0.25">
      <c r="A8" s="25">
        <v>7</v>
      </c>
      <c r="B8" s="1" t="s">
        <v>71</v>
      </c>
      <c r="C8" s="18">
        <f>'GTEES VS loans'!H13</f>
        <v>8.5419999999999996E-2</v>
      </c>
      <c r="D8" s="14">
        <v>1700000000</v>
      </c>
      <c r="E8" s="8">
        <v>43830</v>
      </c>
      <c r="F8" s="8"/>
      <c r="G8" s="8"/>
      <c r="H8" s="4">
        <v>0</v>
      </c>
      <c r="I8" s="14"/>
      <c r="J8" s="14"/>
      <c r="K8" s="14">
        <f>D8</f>
        <v>1700000000</v>
      </c>
      <c r="L8" s="14"/>
      <c r="M8" s="14"/>
      <c r="N8" s="14"/>
      <c r="O8" s="27">
        <f t="shared" si="0"/>
        <v>1700000000</v>
      </c>
    </row>
    <row r="9" spans="1:15" x14ac:dyDescent="0.25">
      <c r="A9" s="25">
        <v>8</v>
      </c>
      <c r="B9" s="1" t="s">
        <v>72</v>
      </c>
      <c r="C9" s="18">
        <f>'GTEES VS loans'!H21</f>
        <v>9.042E-2</v>
      </c>
      <c r="D9" s="14">
        <v>1500000000</v>
      </c>
      <c r="E9" s="8">
        <v>44176</v>
      </c>
      <c r="F9" s="8"/>
      <c r="G9" s="8"/>
      <c r="H9" s="4">
        <v>0</v>
      </c>
      <c r="I9" s="4">
        <v>0</v>
      </c>
      <c r="J9" s="4">
        <v>0</v>
      </c>
      <c r="K9" s="14"/>
      <c r="L9" s="14">
        <f>D9</f>
        <v>1500000000</v>
      </c>
      <c r="M9" s="14"/>
      <c r="N9" s="14"/>
      <c r="O9" s="27">
        <f t="shared" si="0"/>
        <v>1500000000</v>
      </c>
    </row>
    <row r="10" spans="1:15" x14ac:dyDescent="0.25">
      <c r="A10" s="25">
        <v>9</v>
      </c>
      <c r="B10" s="1" t="s">
        <v>73</v>
      </c>
      <c r="C10" s="18">
        <f>'GTEES VS loans'!H20</f>
        <v>8.8419999999999999E-2</v>
      </c>
      <c r="D10" s="14">
        <v>1500000000</v>
      </c>
      <c r="E10" s="8">
        <v>44681</v>
      </c>
      <c r="F10" s="8"/>
      <c r="G10" s="8"/>
      <c r="H10" s="4">
        <v>0</v>
      </c>
      <c r="I10" s="14"/>
      <c r="J10" s="14"/>
      <c r="K10" s="14"/>
      <c r="L10" s="14"/>
      <c r="M10" s="14"/>
      <c r="N10" s="14">
        <f>D10</f>
        <v>1500000000</v>
      </c>
      <c r="O10" s="27">
        <f t="shared" si="0"/>
        <v>1500000000</v>
      </c>
    </row>
    <row r="11" spans="1:15" x14ac:dyDescent="0.25">
      <c r="A11" s="25">
        <v>10</v>
      </c>
      <c r="B11" s="1" t="s">
        <v>59</v>
      </c>
      <c r="C11" s="18">
        <v>9.3399999999999997E-2</v>
      </c>
      <c r="D11" s="14">
        <f>2360922612-207900208</f>
        <v>2153022404</v>
      </c>
      <c r="E11" s="8">
        <v>43008</v>
      </c>
      <c r="F11" s="8"/>
      <c r="G11" s="8"/>
      <c r="H11" s="4">
        <v>0</v>
      </c>
      <c r="I11" s="14">
        <f>'GTEES VS loans'!K44</f>
        <v>2153022404.3800001</v>
      </c>
      <c r="J11" s="14"/>
      <c r="K11" s="14"/>
      <c r="L11" s="14"/>
      <c r="M11" s="14"/>
      <c r="N11" s="14"/>
      <c r="O11" s="27">
        <f t="shared" si="0"/>
        <v>2153022404.3800001</v>
      </c>
    </row>
    <row r="12" spans="1:15" x14ac:dyDescent="0.25">
      <c r="A12" s="25">
        <v>11</v>
      </c>
      <c r="B12" s="1" t="s">
        <v>62</v>
      </c>
      <c r="C12" s="18">
        <v>9.7699999999999995E-2</v>
      </c>
      <c r="D12" s="14">
        <v>830000000</v>
      </c>
      <c r="E12" s="8">
        <v>43008</v>
      </c>
      <c r="F12" s="8"/>
      <c r="G12" s="8"/>
      <c r="H12" s="4">
        <v>0</v>
      </c>
      <c r="I12" s="14">
        <v>830000000</v>
      </c>
      <c r="J12" s="14"/>
      <c r="K12" s="14"/>
      <c r="L12" s="14"/>
      <c r="M12" s="14"/>
      <c r="N12" s="14"/>
      <c r="O12" s="27">
        <f t="shared" ref="O12" si="1">SUM(H12:N12)</f>
        <v>830000000</v>
      </c>
    </row>
    <row r="13" spans="1:15" x14ac:dyDescent="0.25">
      <c r="A13" s="15"/>
      <c r="B13" s="5" t="s">
        <v>25</v>
      </c>
      <c r="C13" s="11">
        <f>AVERAGE(C2:C12)</f>
        <v>9.5132727272727272E-2</v>
      </c>
      <c r="D13" s="9">
        <f>SUM(D2:D12)</f>
        <v>14583022404</v>
      </c>
      <c r="E13" s="9" t="s">
        <v>17</v>
      </c>
      <c r="F13" s="9"/>
      <c r="G13" s="9"/>
      <c r="H13" s="9">
        <f t="shared" ref="H13:N13" si="2">SUM(H2:H12)</f>
        <v>0</v>
      </c>
      <c r="I13" s="9">
        <f t="shared" si="2"/>
        <v>6783022404.3800001</v>
      </c>
      <c r="J13" s="9">
        <f t="shared" si="2"/>
        <v>0</v>
      </c>
      <c r="K13" s="9">
        <f t="shared" si="2"/>
        <v>3500000000</v>
      </c>
      <c r="L13" s="9">
        <f t="shared" si="2"/>
        <v>1500000000</v>
      </c>
      <c r="M13" s="9">
        <f t="shared" si="2"/>
        <v>0</v>
      </c>
      <c r="N13" s="9">
        <f t="shared" si="2"/>
        <v>2800000000</v>
      </c>
      <c r="O13" s="9">
        <f>SUM(O2:O12)</f>
        <v>14583022404.380001</v>
      </c>
    </row>
  </sheetData>
  <pageMargins left="0.51181102362204722" right="0.51181102362204722" top="0.74803149606299213" bottom="0.35433070866141736" header="0" footer="0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B5106D1664834082E4846F6C98B8D2" ma:contentTypeVersion="0" ma:contentTypeDescription="Create a new document." ma:contentTypeScope="" ma:versionID="41da052b65181ab659e4adeb71de3ed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ABE4BC-C8D2-4A76-BD87-D1DBFF8BE7C5}">
  <ds:schemaRefs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1506E7C-4E28-42D0-A459-B13E1FC418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22218C-0E69-4098-82DC-A4CF89FD1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GTEES VS loans</vt:lpstr>
      <vt:lpstr>Debt Maturity Profile</vt:lpstr>
      <vt:lpstr>'GTEES VS loans'!Print_Area</vt:lpstr>
    </vt:vector>
  </TitlesOfParts>
  <Company>South African Airways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Stimpel</dc:creator>
  <cp:lastModifiedBy>Joseph Makoro</cp:lastModifiedBy>
  <cp:lastPrinted>2017-06-08T11:05:38Z</cp:lastPrinted>
  <dcterms:created xsi:type="dcterms:W3CDTF">2015-06-08T15:54:04Z</dcterms:created>
  <dcterms:modified xsi:type="dcterms:W3CDTF">2017-09-08T14:06:49Z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0x01010023B5106D1664834082E4846F6C98B8D2</vt:lpwstr>
  </property>
</Properties>
</file>