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steyn.ENVIRONMENT\Desktop\Reporting\Portfolio\Q3 2015 2016\"/>
    </mc:Choice>
  </mc:AlternateContent>
  <bookViews>
    <workbookView xWindow="120" yWindow="1560" windowWidth="11880" windowHeight="3465"/>
  </bookViews>
  <sheets>
    <sheet name="Summary" sheetId="4" r:id="rId1"/>
    <sheet name="Prog 1-Administration" sheetId="5" r:id="rId2"/>
    <sheet name="Prog 2-Legal, Auth &amp; Compl" sheetId="6" r:id="rId3"/>
    <sheet name="Prog 3-Ocean &amp;Coasts" sheetId="7" r:id="rId4"/>
    <sheet name="Prog4-Climate Chng&amp;Air Quality " sheetId="11" r:id="rId5"/>
    <sheet name="Prog5-Bioderv&amp;Conservation" sheetId="12" r:id="rId6"/>
    <sheet name="Prog6-Environmental Programmes" sheetId="10" r:id="rId7"/>
    <sheet name="Prog7-Chemica&amp;Waste" sheetId="15" r:id="rId8"/>
    <sheet name="Sheet1" sheetId="16" r:id="rId9"/>
  </sheets>
  <definedNames>
    <definedName name="_xlnm._FilterDatabase" localSheetId="2" hidden="1">'Prog 2-Legal, Auth &amp; Compl'!#REF!</definedName>
    <definedName name="_xlnm.Print_Area" localSheetId="1">'Prog 1-Administration'!$A$1:$K$107</definedName>
    <definedName name="_xlnm.Print_Area" localSheetId="4">'Prog4-Climate Chng&amp;Air Quality '!$A$1:$K$61</definedName>
    <definedName name="_xlnm.Print_Area" localSheetId="5">'Prog5-Bioderv&amp;Conservation'!$A$1:$K$82</definedName>
    <definedName name="_xlnm.Print_Area" localSheetId="6">'Prog6-Environmental Programmes'!$A$1:$K$66</definedName>
    <definedName name="_xlnm.Print_Area" localSheetId="7">'Prog7-Chemica&amp;Waste'!$A$1:$K$54</definedName>
    <definedName name="_xlnm.Print_Area" localSheetId="0">Summary!$A$1:$Y$111</definedName>
    <definedName name="_xlnm.Print_Titles" localSheetId="1">'Prog 1-Administration'!$14:$14</definedName>
    <definedName name="_xlnm.Print_Titles" localSheetId="2">'Prog 2-Legal, Auth &amp; Compl'!#REF!</definedName>
  </definedNames>
  <calcPr calcId="152511"/>
</workbook>
</file>

<file path=xl/calcChain.xml><?xml version="1.0" encoding="utf-8"?>
<calcChain xmlns="http://schemas.openxmlformats.org/spreadsheetml/2006/main">
  <c r="H21" i="5" l="1"/>
  <c r="H55" i="10" l="1"/>
  <c r="H59" i="12"/>
  <c r="H62" i="12" l="1"/>
  <c r="H61" i="7"/>
  <c r="H72" i="7"/>
  <c r="H60" i="7"/>
  <c r="H66" i="7"/>
  <c r="H57" i="7"/>
  <c r="H58" i="7"/>
  <c r="H59" i="7"/>
  <c r="H62" i="7"/>
  <c r="H69" i="7"/>
  <c r="H54" i="7"/>
  <c r="H42" i="6" l="1"/>
  <c r="H47" i="6"/>
  <c r="H45" i="6"/>
  <c r="H48" i="6"/>
  <c r="H87" i="5"/>
  <c r="H82" i="5"/>
  <c r="H90" i="5"/>
  <c r="H94" i="5"/>
  <c r="H77" i="5"/>
  <c r="H80" i="5"/>
  <c r="H81" i="5"/>
  <c r="H71" i="5"/>
  <c r="H75" i="5"/>
  <c r="H23" i="7"/>
  <c r="H17" i="15" l="1"/>
  <c r="H18" i="15"/>
  <c r="H14" i="15"/>
  <c r="H15" i="15"/>
  <c r="H23" i="12"/>
  <c r="H27" i="12"/>
  <c r="H34" i="12"/>
  <c r="H30" i="12"/>
  <c r="H24" i="12" l="1"/>
  <c r="H28" i="12"/>
  <c r="H17" i="12"/>
  <c r="H15" i="12"/>
  <c r="H25" i="11"/>
  <c r="H14" i="11"/>
  <c r="H20" i="11"/>
  <c r="H13" i="7" l="1"/>
  <c r="H16" i="6"/>
  <c r="H29" i="5"/>
  <c r="H23" i="5"/>
  <c r="H37" i="5"/>
  <c r="H42" i="5"/>
  <c r="H36" i="5"/>
  <c r="H25" i="5"/>
  <c r="H17" i="5"/>
  <c r="H26" i="5"/>
  <c r="H49" i="10"/>
  <c r="H48" i="10"/>
  <c r="H37" i="15"/>
  <c r="H43" i="11"/>
  <c r="H44" i="7"/>
  <c r="H35" i="6"/>
  <c r="H63" i="5"/>
  <c r="H64" i="5"/>
  <c r="H64" i="12" l="1"/>
  <c r="H56" i="7" l="1"/>
  <c r="H49" i="6"/>
  <c r="H52" i="6" s="1"/>
  <c r="H26" i="10" l="1"/>
  <c r="H20" i="12"/>
  <c r="H16" i="12"/>
  <c r="H22" i="11"/>
  <c r="H20" i="7"/>
  <c r="H18" i="5"/>
  <c r="H15" i="5"/>
  <c r="H28" i="6" l="1"/>
  <c r="H31" i="6" s="1"/>
  <c r="H47" i="10" l="1"/>
  <c r="H51" i="10" s="1"/>
  <c r="H45" i="15" l="1"/>
  <c r="H27" i="10" l="1"/>
  <c r="H23" i="10"/>
  <c r="H13" i="15"/>
  <c r="H20" i="15" s="1"/>
  <c r="H16" i="11"/>
  <c r="H17" i="11"/>
  <c r="H18" i="11"/>
  <c r="H15" i="11"/>
  <c r="H19" i="7"/>
  <c r="H18" i="7"/>
  <c r="H17" i="7"/>
  <c r="H15" i="7"/>
  <c r="H18" i="6"/>
  <c r="H33" i="5"/>
  <c r="H25" i="7" l="1"/>
  <c r="H63" i="7"/>
  <c r="H21" i="11"/>
  <c r="H69" i="12" l="1"/>
  <c r="H53" i="7"/>
  <c r="H18" i="10"/>
  <c r="H26" i="12"/>
  <c r="H18" i="12"/>
  <c r="H26" i="11"/>
  <c r="H24" i="6" l="1"/>
  <c r="H79" i="5" l="1"/>
  <c r="H78" i="5"/>
  <c r="H17" i="10" l="1"/>
  <c r="H35" i="12"/>
  <c r="H81" i="7"/>
  <c r="H83" i="7" s="1"/>
  <c r="H65" i="5" l="1"/>
  <c r="H50" i="7" l="1"/>
  <c r="H74" i="7" s="1"/>
  <c r="H76" i="5" l="1"/>
  <c r="H100" i="5" s="1"/>
  <c r="H13" i="10" l="1"/>
  <c r="H29" i="10" s="1"/>
  <c r="H51" i="12"/>
  <c r="H36" i="6"/>
  <c r="H20" i="5"/>
  <c r="H46" i="5" s="1"/>
  <c r="B17" i="4" l="1"/>
  <c r="H51" i="15"/>
  <c r="F15" i="4" s="1"/>
  <c r="G15" i="4"/>
  <c r="H39" i="15"/>
  <c r="D15" i="4" s="1"/>
  <c r="C15" i="4"/>
  <c r="H32" i="15"/>
  <c r="E15" i="4" s="1"/>
  <c r="H26" i="15"/>
  <c r="H63" i="10"/>
  <c r="F14" i="4" s="1"/>
  <c r="H56" i="11"/>
  <c r="F12" i="4" s="1"/>
  <c r="H76" i="12"/>
  <c r="F13" i="4" s="1"/>
  <c r="H57" i="10"/>
  <c r="G14" i="4" s="1"/>
  <c r="D14" i="4"/>
  <c r="H42" i="10"/>
  <c r="G13" i="4"/>
  <c r="H53" i="12"/>
  <c r="D13" i="4" s="1"/>
  <c r="H47" i="12"/>
  <c r="E13" i="4" s="1"/>
  <c r="H50" i="11"/>
  <c r="G12" i="4" s="1"/>
  <c r="H44" i="11"/>
  <c r="D12" i="4" s="1"/>
  <c r="C14" i="4" l="1"/>
  <c r="H15" i="4"/>
  <c r="E14" i="4"/>
  <c r="C13" i="4"/>
  <c r="H13" i="4" s="1"/>
  <c r="H53" i="15"/>
  <c r="H39" i="11"/>
  <c r="E12" i="4" s="1"/>
  <c r="C12" i="4"/>
  <c r="H14" i="4" l="1"/>
  <c r="H12" i="4"/>
  <c r="J15" i="4"/>
  <c r="I15" i="4"/>
  <c r="F11" i="4"/>
  <c r="H46" i="7"/>
  <c r="D11" i="4" s="1"/>
  <c r="H40" i="7"/>
  <c r="E11" i="4" s="1"/>
  <c r="H59" i="6"/>
  <c r="F10" i="4" s="1"/>
  <c r="E10" i="4"/>
  <c r="J14" i="4" l="1"/>
  <c r="I14" i="4"/>
  <c r="G10" i="4"/>
  <c r="C10" i="4"/>
  <c r="G11" i="4" l="1"/>
  <c r="H52" i="5"/>
  <c r="G9" i="4" l="1"/>
  <c r="G17" i="4" s="1"/>
  <c r="H58" i="5" l="1"/>
  <c r="E9" i="4" s="1"/>
  <c r="E17" i="4" s="1"/>
  <c r="H36" i="10"/>
  <c r="H65" i="10" s="1"/>
  <c r="H41" i="12" l="1"/>
  <c r="H78" i="12" l="1"/>
  <c r="J13" i="4" l="1"/>
  <c r="I13" i="4"/>
  <c r="H105" i="5"/>
  <c r="F9" i="4" s="1"/>
  <c r="F17" i="4" s="1"/>
  <c r="C9" i="4" l="1"/>
  <c r="H32" i="11"/>
  <c r="H59" i="11" l="1"/>
  <c r="H32" i="7"/>
  <c r="D10" i="4" l="1"/>
  <c r="H10" i="4" s="1"/>
  <c r="H61" i="6"/>
  <c r="J12" i="4" l="1"/>
  <c r="I12" i="4"/>
  <c r="J10" i="4" l="1"/>
  <c r="I10" i="4"/>
  <c r="H107" i="5" l="1"/>
  <c r="D9" i="4"/>
  <c r="H9" i="4" s="1"/>
  <c r="J9" i="4" l="1"/>
  <c r="I9" i="4"/>
  <c r="D17" i="4"/>
  <c r="H85" i="7"/>
  <c r="C11" i="4"/>
  <c r="C17" i="4" s="1"/>
  <c r="H17" i="4" l="1"/>
  <c r="J17" i="4" s="1"/>
  <c r="H11" i="4"/>
  <c r="J11" i="4" s="1"/>
  <c r="I17" i="4" l="1"/>
  <c r="I11" i="4"/>
</calcChain>
</file>

<file path=xl/sharedStrings.xml><?xml version="1.0" encoding="utf-8"?>
<sst xmlns="http://schemas.openxmlformats.org/spreadsheetml/2006/main" count="2053" uniqueCount="756">
  <si>
    <t>COMPANY</t>
  </si>
  <si>
    <t>DESCRIPTION</t>
  </si>
  <si>
    <t>PERIOD</t>
  </si>
  <si>
    <t>WOMEN</t>
  </si>
  <si>
    <t>BEE</t>
  </si>
  <si>
    <t>TOTAL AMOUNT</t>
  </si>
  <si>
    <t>TOTAL</t>
  </si>
  <si>
    <t>AMOUNT</t>
  </si>
  <si>
    <t>GRAND TOTAL</t>
  </si>
  <si>
    <t>RSP PROJECT MANAGER</t>
  </si>
  <si>
    <t>REASON FOR CONSULTANT</t>
  </si>
  <si>
    <t>Grand Total</t>
  </si>
  <si>
    <t xml:space="preserve">START </t>
  </si>
  <si>
    <t>END</t>
  </si>
  <si>
    <t>CATEGORY</t>
  </si>
  <si>
    <t xml:space="preserve"> </t>
  </si>
  <si>
    <t>BUSINESS &amp; ADVISORY SERVICES</t>
  </si>
  <si>
    <t>LEGAL SERVICES</t>
  </si>
  <si>
    <t>CONTRACTORS</t>
  </si>
  <si>
    <t>AGENCY &amp; OUTSOURCED SERVICES</t>
  </si>
  <si>
    <t>12 months</t>
  </si>
  <si>
    <t>Business &amp; Advisory</t>
  </si>
  <si>
    <t>Legal</t>
  </si>
  <si>
    <t>Contractors</t>
  </si>
  <si>
    <t>Budget</t>
  </si>
  <si>
    <t>Programme</t>
  </si>
  <si>
    <t>Department of Justice</t>
  </si>
  <si>
    <t>Legal Fees</t>
  </si>
  <si>
    <t>state atorney services</t>
  </si>
  <si>
    <t>M Pearce</t>
  </si>
  <si>
    <t>State Attorneys fees</t>
  </si>
  <si>
    <t>31/03/2015</t>
  </si>
  <si>
    <t>01/04/2014</t>
  </si>
  <si>
    <t>KT Airconditioning</t>
  </si>
  <si>
    <t>Various Clearing Contractors</t>
  </si>
  <si>
    <t>Clearing</t>
  </si>
  <si>
    <t>R Harrikaran</t>
  </si>
  <si>
    <t>Van Der Nest</t>
  </si>
  <si>
    <t>Audit Committee Member</t>
  </si>
  <si>
    <t>Thomas S</t>
  </si>
  <si>
    <t>Hanekom</t>
  </si>
  <si>
    <t xml:space="preserve">Maintainance </t>
  </si>
  <si>
    <t>Maintainance</t>
  </si>
  <si>
    <t>Monthly servicing of air conditioners at East Pier</t>
  </si>
  <si>
    <t>S Mohamed</t>
  </si>
  <si>
    <t>A Boyd</t>
  </si>
  <si>
    <t>F Craigie</t>
  </si>
  <si>
    <t>G Preston</t>
  </si>
  <si>
    <t>A Hlubi</t>
  </si>
  <si>
    <t>Audit committee member for DEA</t>
  </si>
  <si>
    <t>Committee member</t>
  </si>
  <si>
    <t>Inception report</t>
  </si>
  <si>
    <t>Reporting</t>
  </si>
  <si>
    <t>Padayachy S</t>
  </si>
  <si>
    <t>Delport and Murray</t>
  </si>
  <si>
    <t>Barloworld South Africa Pty Ltd</t>
  </si>
  <si>
    <t>Audit and Risk committee member for DEA</t>
  </si>
  <si>
    <t>K Manda</t>
  </si>
  <si>
    <t>N Devanunthan</t>
  </si>
  <si>
    <t>Maintainance of the Volvo generator</t>
  </si>
  <si>
    <t>D Dombas</t>
  </si>
  <si>
    <t>M Mayekiso</t>
  </si>
  <si>
    <t>Servicing of the caterpillar machines of Antartica.</t>
  </si>
  <si>
    <t>21ST Century Pay Solutions Group</t>
  </si>
  <si>
    <t>ASG Perfomance Solutions Pty Ltd</t>
  </si>
  <si>
    <t>S Rakhoho</t>
  </si>
  <si>
    <t>15 months</t>
  </si>
  <si>
    <t>Maintainance ans support of the balance score card system</t>
  </si>
  <si>
    <t>Assessments</t>
  </si>
  <si>
    <t>Casual Laboures</t>
  </si>
  <si>
    <t>Development of a remuneration and human resources framework system for public entities.</t>
  </si>
  <si>
    <t>Development</t>
  </si>
  <si>
    <t>H Schoeman</t>
  </si>
  <si>
    <t>3 years</t>
  </si>
  <si>
    <t>Gamework Helicopters CC</t>
  </si>
  <si>
    <t>D&amp;T Central Admin</t>
  </si>
  <si>
    <t>Neotel</t>
  </si>
  <si>
    <t>Conduct aerial herbicide application and control of floating macrophytic aquatic weeds.</t>
  </si>
  <si>
    <t>N Ngcobo</t>
  </si>
  <si>
    <t>Micro level governance review of all environmental sector public entities.</t>
  </si>
  <si>
    <t>G Gcanga</t>
  </si>
  <si>
    <t>Various but mostly 100% BEE</t>
  </si>
  <si>
    <t>ANNEXURE A</t>
  </si>
  <si>
    <t>PROGRAMME 1:    ADMINISTRATION:</t>
  </si>
  <si>
    <t>INFRASTRUCTURE &amp; PLANNING</t>
  </si>
  <si>
    <t>LABORATORIES SERVICES</t>
  </si>
  <si>
    <t>PROGRAMME 2:    LEGAL, AUTHORISATIONS &amp; COMPLIANCE</t>
  </si>
  <si>
    <t>PROGRAMME 3: OCEANS &amp; COASTS</t>
  </si>
  <si>
    <t>MPA management</t>
  </si>
  <si>
    <t>Management of MPA's</t>
  </si>
  <si>
    <t>Nelson Mandela Bay Metropolitan</t>
  </si>
  <si>
    <t>Management of Sardina Bay  Marine Protected Area</t>
  </si>
  <si>
    <t>17/11/2014</t>
  </si>
  <si>
    <t>16/11/2017</t>
  </si>
  <si>
    <t>Maintainance of the coastal viewer online mapping system.</t>
  </si>
  <si>
    <t>Y Perterson</t>
  </si>
  <si>
    <t>PROGRAMME 4: CLIMATE CHANGE &amp; AIR QUALITY</t>
  </si>
  <si>
    <t>Maintainance &amp; Repairs</t>
  </si>
  <si>
    <t>T Mahema</t>
  </si>
  <si>
    <t>Enfotech &amp; Consulting Inc</t>
  </si>
  <si>
    <t>NAEIS hosting &amp; technical support services</t>
  </si>
  <si>
    <t>NAEIS hosting &amp; technical support services, maintainance and support</t>
  </si>
  <si>
    <t>Regulating Committee</t>
  </si>
  <si>
    <t>Sakhau AJ</t>
  </si>
  <si>
    <t>Member of regulating committee for Meteorological Services</t>
  </si>
  <si>
    <t>Ratsheko TT</t>
  </si>
  <si>
    <t>Renqe FY</t>
  </si>
  <si>
    <t>Diab RD</t>
  </si>
  <si>
    <t>PROGRAMME 5: BIODIVERSITY &amp; CONSERVATIONS</t>
  </si>
  <si>
    <t>01/04/2015</t>
  </si>
  <si>
    <t xml:space="preserve">  </t>
  </si>
  <si>
    <t>PROGRAMME 6: ENVIRONMENTAL PROGRAMMES</t>
  </si>
  <si>
    <t>LJ Smith</t>
  </si>
  <si>
    <t>The eradication and monitoring of indian house crows in KZN</t>
  </si>
  <si>
    <t>Kay Montgomery Editorial Services</t>
  </si>
  <si>
    <t>Environmental Programmes nurseries partnership project NO-E1190</t>
  </si>
  <si>
    <t xml:space="preserve">Biocontrol </t>
  </si>
  <si>
    <t>Environmental Programmes nurseries partnership project NO-E1190 about awareness of IAP's in the nursery/landscaping/green industries and general public.</t>
  </si>
  <si>
    <t>C Marais</t>
  </si>
  <si>
    <t>SA Sugar Association Admin CC</t>
  </si>
  <si>
    <t>Collaboration payment</t>
  </si>
  <si>
    <t>Rearing, supplying and releasing biocontrol agents for invasive alien weeds</t>
  </si>
  <si>
    <t>Licensing</t>
  </si>
  <si>
    <t>Waste Licensing</t>
  </si>
  <si>
    <t>M Gordon</t>
  </si>
  <si>
    <t>Aecom South Africa Holdings</t>
  </si>
  <si>
    <t>Manage of waste management licence applications for 112 unlicensed disposal facilities.</t>
  </si>
  <si>
    <t>Prog1:Admin</t>
  </si>
  <si>
    <t>Prog3:OC</t>
  </si>
  <si>
    <t>Prog2:LACE</t>
  </si>
  <si>
    <t>Prog4:CC</t>
  </si>
  <si>
    <t>Prog5:B &amp; C</t>
  </si>
  <si>
    <t>Prog6:EP</t>
  </si>
  <si>
    <t>Prog7:CWM</t>
  </si>
  <si>
    <t>Agency&amp;Outsourced Services</t>
  </si>
  <si>
    <t>Legal Services</t>
  </si>
  <si>
    <t>Total Expenditure</t>
  </si>
  <si>
    <t>Laboratory Services</t>
  </si>
  <si>
    <t>%</t>
  </si>
  <si>
    <t>R'000</t>
  </si>
  <si>
    <t xml:space="preserve">Balance </t>
  </si>
  <si>
    <t>31/03/2016</t>
  </si>
  <si>
    <t>Cheadle Thompson &amp; Haysom Inc</t>
  </si>
  <si>
    <t>Pinnacle Business Solutions</t>
  </si>
  <si>
    <t>Tsa-Gaetsho Consultancy CC</t>
  </si>
  <si>
    <t>Casual Labourers</t>
  </si>
  <si>
    <t>Casual employment for fittings offilling cabinets</t>
  </si>
  <si>
    <t>Information Decision Systems</t>
  </si>
  <si>
    <t xml:space="preserve">01/04/2015 </t>
  </si>
  <si>
    <t>University of Cape Town</t>
  </si>
  <si>
    <t>Chinese Translation &amp; Consultants</t>
  </si>
  <si>
    <t>Casual Labaroures</t>
  </si>
  <si>
    <t>Casual Employent for fittings of filling cabinets.</t>
  </si>
  <si>
    <t>Facilitator</t>
  </si>
  <si>
    <t>Once Off</t>
  </si>
  <si>
    <t>Workshop</t>
  </si>
  <si>
    <t>Facilitator for  intern farewell</t>
  </si>
  <si>
    <t>N Qaqane</t>
  </si>
  <si>
    <t>Research</t>
  </si>
  <si>
    <t>Climate Change research to inform South Africa's position on future actions under the UNFCC and the Kyoto Protocol</t>
  </si>
  <si>
    <t>A Wills</t>
  </si>
  <si>
    <t xml:space="preserve"> Repairs to Sharp mother board</t>
  </si>
  <si>
    <t>M Mughivhi</t>
  </si>
  <si>
    <t>Interpretation</t>
  </si>
  <si>
    <t>Once off</t>
  </si>
  <si>
    <t>Interpretor for a meeting between Minister and Vice Minister of State Forestry Administration of China.</t>
  </si>
  <si>
    <t>K Thoko</t>
  </si>
  <si>
    <t>Labour court review</t>
  </si>
  <si>
    <t>Implementation of labour court judgement of Judge Steenkamp in the matter between Public Servants Accosiation OBO Mr J Bantham and Deapartment of Environmental Affairs</t>
  </si>
  <si>
    <t>G Esitang</t>
  </si>
  <si>
    <t>Video recording</t>
  </si>
  <si>
    <t>Audio visual</t>
  </si>
  <si>
    <t>Video conferencing optimisation proposal.</t>
  </si>
  <si>
    <t>J Lawrence</t>
  </si>
  <si>
    <t>Customer First Solutions</t>
  </si>
  <si>
    <t>Turner &amp; Townsend Pty Ltd</t>
  </si>
  <si>
    <t>Afrigis Pty Ltd</t>
  </si>
  <si>
    <t>Soma Initiative</t>
  </si>
  <si>
    <t>CSIR</t>
  </si>
  <si>
    <t>3G Rolocations</t>
  </si>
  <si>
    <t>Speakers Inc</t>
  </si>
  <si>
    <t>Biddulphs Removals &amp; Storage</t>
  </si>
  <si>
    <t xml:space="preserve">ADT Security </t>
  </si>
  <si>
    <t>Security</t>
  </si>
  <si>
    <t>Security Services for Cape Town Offices</t>
  </si>
  <si>
    <t>Security Services</t>
  </si>
  <si>
    <t>Drs Du Buisson</t>
  </si>
  <si>
    <t>Medicals</t>
  </si>
  <si>
    <t>Medical</t>
  </si>
  <si>
    <t>No Internal Capacity</t>
  </si>
  <si>
    <t>Drs Mkhabela &amp; Indunah Diagnosis</t>
  </si>
  <si>
    <t>Dr PG Rous Practice Prop</t>
  </si>
  <si>
    <t>D6 Technology Pty Ltd</t>
  </si>
  <si>
    <t>Tipp Offs Anonymous</t>
  </si>
  <si>
    <t>WWF - SA</t>
  </si>
  <si>
    <t>WSP Environmental Pty Ltd</t>
  </si>
  <si>
    <t>Tembador 194 Pty Ltd</t>
  </si>
  <si>
    <t>C&amp;M Consulting Engineers</t>
  </si>
  <si>
    <t>Dr Morton and Partners</t>
  </si>
  <si>
    <t>Dietrich Voigt MI &amp; Partners</t>
  </si>
  <si>
    <t>Dow &amp; Engravers CC</t>
  </si>
  <si>
    <t>No  Internal Capacity</t>
  </si>
  <si>
    <t>Hofmeyer Street Practice</t>
  </si>
  <si>
    <t>Tsanwamim</t>
  </si>
  <si>
    <t>Karoka FP</t>
  </si>
  <si>
    <t>Fabuleux Investments 7CC</t>
  </si>
  <si>
    <t>Sandvlei Gronderskuiwing Pty Ltd</t>
  </si>
  <si>
    <t>Dr PG Rous Practice Prop CC</t>
  </si>
  <si>
    <t>Drs Mkhabela &amp; Indunah Diagnos</t>
  </si>
  <si>
    <t>Breathe Consulting</t>
  </si>
  <si>
    <t>Game Rangers Ass of Africa</t>
  </si>
  <si>
    <t>Emross Consulting Pty Ltd</t>
  </si>
  <si>
    <t>Global Africa Network</t>
  </si>
  <si>
    <t>Nelson Mandela Metropolitan University</t>
  </si>
  <si>
    <t>Shelve Wizard 75CC</t>
  </si>
  <si>
    <t>Friedmann Y</t>
  </si>
  <si>
    <t>Gastrrow P</t>
  </si>
  <si>
    <t>Indegenous Dialogues Pty Ltd</t>
  </si>
  <si>
    <t>Lunch Box Theartre</t>
  </si>
  <si>
    <t>Legal fees</t>
  </si>
  <si>
    <t>Marine Living Resources Fund</t>
  </si>
  <si>
    <t>Data World</t>
  </si>
  <si>
    <t>Computer Foundation Pty Ltd</t>
  </si>
  <si>
    <t>Hand Made Connection CC</t>
  </si>
  <si>
    <t>UIS Organic Laboratory</t>
  </si>
  <si>
    <t>Sample analysis</t>
  </si>
  <si>
    <t>Analysis</t>
  </si>
  <si>
    <t>Sample analysis of water and soil for a joint investigation with the SAPS-DPCI</t>
  </si>
  <si>
    <t>W Eiselen</t>
  </si>
  <si>
    <t>Karien Gerber</t>
  </si>
  <si>
    <t>Translation</t>
  </si>
  <si>
    <t>Translation for brochures:Asbetos</t>
  </si>
  <si>
    <t>L Engelbrecht</t>
  </si>
  <si>
    <t>Linkd Environmental Services</t>
  </si>
  <si>
    <t>Nemai Consulting CC</t>
  </si>
  <si>
    <t>Change Eq Pty Ltd</t>
  </si>
  <si>
    <t>Tothills Pharmacy</t>
  </si>
  <si>
    <t>Pule Matebosi, Thozama Qomane</t>
  </si>
  <si>
    <t>Motivational Speaker</t>
  </si>
  <si>
    <t>Wellness</t>
  </si>
  <si>
    <t xml:space="preserve">Candle light memorial </t>
  </si>
  <si>
    <t>T Mthombeni</t>
  </si>
  <si>
    <t>Sampi Mthombeni</t>
  </si>
  <si>
    <t>Entertainment</t>
  </si>
  <si>
    <t>Sports day for Cape Town officials</t>
  </si>
  <si>
    <t>Mustek Limited</t>
  </si>
  <si>
    <t>Repairs of printers for Finance office.</t>
  </si>
  <si>
    <t>A Wessels</t>
  </si>
  <si>
    <t>AWA Networking &amp; Telecom Proj</t>
  </si>
  <si>
    <t>ICAS Emp &amp; Org Enhancement Services</t>
  </si>
  <si>
    <t>Beautiful Beginnings Consulting</t>
  </si>
  <si>
    <t>Committee of Inquiry</t>
  </si>
  <si>
    <t>Meeting</t>
  </si>
  <si>
    <t>Committee of inqury into rhino poaching</t>
  </si>
  <si>
    <t>S Mancotywa</t>
  </si>
  <si>
    <t>Tranche payment</t>
  </si>
  <si>
    <t>Expanding the detail statial coverage of historical records of the incidence of the larger mammals in South Africa, Lesotho and Swaziland.</t>
  </si>
  <si>
    <t>K Naicker</t>
  </si>
  <si>
    <t>Service provider to provide a Customer Feedback Service for a period of 24 months</t>
  </si>
  <si>
    <t>01/02/2014</t>
  </si>
  <si>
    <t>31/01/2016</t>
  </si>
  <si>
    <t>24 months</t>
  </si>
  <si>
    <t>To develop a performance monitoring and reporting system and to provide Ad Hoc advisory services in respect of the Departments'PPP Project</t>
  </si>
  <si>
    <t>Extention of contract with Afrigis for Professional services to assist the Department with the migration from Novel to Microsoft Outlook</t>
  </si>
  <si>
    <t>Appointment of the Health Risk Manager for the Department of Environmental Affairs (DEA) for the sick leave cycle ending on 31 December 2015.</t>
  </si>
  <si>
    <t>01/11/2013</t>
  </si>
  <si>
    <t>31/12/2015</t>
  </si>
  <si>
    <t>Appointment for a consultancy to assist the Department with the development of a Strategic Environmental Assessment (SEA).</t>
  </si>
  <si>
    <t>12/02/2015</t>
  </si>
  <si>
    <t>11/02/2017</t>
  </si>
  <si>
    <t>24 mnths</t>
  </si>
  <si>
    <t>Research and compile an environmental offsetting discussion document</t>
  </si>
  <si>
    <t>02/09/2014</t>
  </si>
  <si>
    <t>02/03/2015</t>
  </si>
  <si>
    <t>6 months</t>
  </si>
  <si>
    <t>Extention of contract by nine(9) months starting from 25 February 2014 until 30 November 2014 for the completion of the Mapungubwe Cultural Landscape World Heritage Site (MCLWHS) EMF Project</t>
  </si>
  <si>
    <t>25/02/2014</t>
  </si>
  <si>
    <t>30/11/2014</t>
  </si>
  <si>
    <t>9 mnths</t>
  </si>
  <si>
    <t xml:space="preserve">Appointment of an external Change Management Agent: Change EQ Corporate Advisors </t>
  </si>
  <si>
    <t>30/06/2014</t>
  </si>
  <si>
    <t>3 mnths</t>
  </si>
  <si>
    <t xml:space="preserve">Professional Services </t>
  </si>
  <si>
    <t xml:space="preserve">To provide a Customer Feedback Service </t>
  </si>
  <si>
    <t>A Modise</t>
  </si>
  <si>
    <t>M Maseda</t>
  </si>
  <si>
    <t>Assist the Department with the migration from Novel to Microsoft Outlook</t>
  </si>
  <si>
    <t>Investigate temporary incapacity leave including ill-health retirements</t>
  </si>
  <si>
    <t>A Thompson</t>
  </si>
  <si>
    <t>To assist the Department with the development of a Strategic Environmental Assessment (SEA).</t>
  </si>
  <si>
    <t>S Hlela</t>
  </si>
  <si>
    <t>P Lukey</t>
  </si>
  <si>
    <t xml:space="preserve">Outsourcing and the Terms of Reference (TORs) for the development of the Mapubungwe Cultural Landscape World Heritage Site (MCLWHS) Environmental Management Framework (EMF) in the Limpopo Province  </t>
  </si>
  <si>
    <t>DA Fischer</t>
  </si>
  <si>
    <t xml:space="preserve">To implement change management interventions to prepare and assist Departmental staff to change its mind set and realise the benefits of open plan office design and such related matters before they relocate to the new Department's Green Building </t>
  </si>
  <si>
    <t>RT8-2015: Transportation of cargo and furniture relocation services for the state for the period ending 31 January 2017</t>
  </si>
  <si>
    <t>Facilitating the Departmental Learning Network(DLN)</t>
  </si>
  <si>
    <t xml:space="preserve">Transfere office furniture using service providers listed ion DEA Supply Chain Management database </t>
  </si>
  <si>
    <t>Implementation of the Transformation Employee Wellness Schedules</t>
  </si>
  <si>
    <t>12 mnths</t>
  </si>
  <si>
    <t>Service provider for fitness session of the biggest loser</t>
  </si>
  <si>
    <t>01/02/2015</t>
  </si>
  <si>
    <t>30/04/2015</t>
  </si>
  <si>
    <t>Furniture Removal</t>
  </si>
  <si>
    <t xml:space="preserve">Removal of household furniture for the Departmental official from Witbank to Pretoria </t>
  </si>
  <si>
    <t>N Msibi</t>
  </si>
  <si>
    <t>Professional Services</t>
  </si>
  <si>
    <t>NP Qaqane</t>
  </si>
  <si>
    <t>Transfere of office furniture</t>
  </si>
  <si>
    <t>G Qotywa</t>
  </si>
  <si>
    <t>S Nyathi</t>
  </si>
  <si>
    <t>Extention of the contract with D6 Technology for provision of an electronic communication tool (D6 Communicator) for the Environmental Management Inspectorate</t>
  </si>
  <si>
    <t>30/10/2014</t>
  </si>
  <si>
    <t>Maintenance and Repairs</t>
  </si>
  <si>
    <t>Provision of an electronic communication tool (D6 Communicator) for the Environmental Management Inspectorate</t>
  </si>
  <si>
    <t>F Craige</t>
  </si>
  <si>
    <t>Contract extention for specialist service provider</t>
  </si>
  <si>
    <t>31/07/2015</t>
  </si>
  <si>
    <t>Supply and installation of three (3) Air Quality  Monitoring Stations in the Waterberg Airshed</t>
  </si>
  <si>
    <t>25/05/2014</t>
  </si>
  <si>
    <t>25/08/2015</t>
  </si>
  <si>
    <t>14 months</t>
  </si>
  <si>
    <t>Professional Service</t>
  </si>
  <si>
    <t>Specialist consultancy services on a retainer basis in respect of the work to be done for the Regulating Committee for Meteorological Services</t>
  </si>
  <si>
    <t>Establish an air quality monitoring network to ensure that baseline air quality monitoring data and information is collected well before the industrial developments are implemented</t>
  </si>
  <si>
    <t>Service provider to develop a business case for Vredefort Dome World Heritage Site.</t>
  </si>
  <si>
    <t>Service provider to undertake a full review of the national protected areas expansion Strategy (NPAES) 2008-13 and develop an updated NPAES</t>
  </si>
  <si>
    <t>01/12/2015</t>
  </si>
  <si>
    <t xml:space="preserve">Undertake the full review of management effectiveness of South Africa's State Managed Protected Area </t>
  </si>
  <si>
    <t>15/09/2014</t>
  </si>
  <si>
    <t>15/05/2015</t>
  </si>
  <si>
    <t>8 months</t>
  </si>
  <si>
    <t>Service provider to develop man and the Biosphere Reserve a national strategy for the Republic of South Africa</t>
  </si>
  <si>
    <t>03/09/2014</t>
  </si>
  <si>
    <t>03/05/2015</t>
  </si>
  <si>
    <t>Web-Based promotion of investment opportunities in TFCA catalogue</t>
  </si>
  <si>
    <t>24/05/2015</t>
  </si>
  <si>
    <t>23/05/2016</t>
  </si>
  <si>
    <t>Develop a business case for Vredefort Dome World Heritage Site.</t>
  </si>
  <si>
    <t>T Ntloko</t>
  </si>
  <si>
    <t>Undertake a full review of the national protected areas expansion Strategy (NPAES) 2008-13 and develop an updated NPAES</t>
  </si>
  <si>
    <t xml:space="preserve">To assist the Department of Environment Affairs(SEA) with the review of the Management effectiveness of South Africa's State Managed Protected Area </t>
  </si>
  <si>
    <t>Develop man and the Biosphere Reserve a national strategy for the Republic of South Africa</t>
  </si>
  <si>
    <t>SKA Mancotywa</t>
  </si>
  <si>
    <t>To  increase the tourism potential of Southern Africa by consolidating the marketing, infrastructure development and investment promotion efforts of existing Transfrontier initiatives</t>
  </si>
  <si>
    <t>D Kahatano</t>
  </si>
  <si>
    <t>Group workshop facilitation and reporting</t>
  </si>
  <si>
    <t>Inaugural Biosphere Awareness Event to be held in the Garden Route Biosphere Initiative</t>
  </si>
  <si>
    <t>Workshop facilitation and reporting</t>
  </si>
  <si>
    <t>TH Carroll</t>
  </si>
  <si>
    <t>Conference package, Accommodation, Transport</t>
  </si>
  <si>
    <t>Extention of the Computer Foundation and Dataworld contracts to provide support and maintenance services for the information systems utalised by the Environmental Programmes branch for an additional period of six months to terminate on 30 June 2015.</t>
  </si>
  <si>
    <t>01/01/2015</t>
  </si>
  <si>
    <t>30/06/2015</t>
  </si>
  <si>
    <t>Maintenance and Support</t>
  </si>
  <si>
    <t>Provide support and maintenance services for the information systems utalised by the Environmental Programmes branch</t>
  </si>
  <si>
    <t>M Skosana</t>
  </si>
  <si>
    <t>Effluent Disposal</t>
  </si>
  <si>
    <t>15/11/2014</t>
  </si>
  <si>
    <t>15/05/2016</t>
  </si>
  <si>
    <t>18 months</t>
  </si>
  <si>
    <t>Assess the status of effluent disposal in South Africa</t>
  </si>
  <si>
    <t>MOU-Contribution to assist in the development of management plans, business plans,compliance strategies, contigency plans, education awareness material and providing training opportunities for better management of MPA's</t>
  </si>
  <si>
    <t>1/04/2012</t>
  </si>
  <si>
    <t>31/03/2017</t>
  </si>
  <si>
    <t>4 years</t>
  </si>
  <si>
    <t>Development of plans</t>
  </si>
  <si>
    <t>Contribution to assist in the development of management plans, business plans,compliance strategies, contigency plans, education awareness material and providing training opportunities for better management of MPA's</t>
  </si>
  <si>
    <t>X Mkefe</t>
  </si>
  <si>
    <t>15/04/2015</t>
  </si>
  <si>
    <t>Bulldozer services rendered in Antartica</t>
  </si>
  <si>
    <t>Signage</t>
  </si>
  <si>
    <t>29/05/2015</t>
  </si>
  <si>
    <t>1 month</t>
  </si>
  <si>
    <t>Map illustration for large format signage</t>
  </si>
  <si>
    <t>L Mudau</t>
  </si>
  <si>
    <t>Advisory Services</t>
  </si>
  <si>
    <t>10/06/2015</t>
  </si>
  <si>
    <t>12/05/2016</t>
  </si>
  <si>
    <t>Planning tool</t>
  </si>
  <si>
    <t>Development of WFW management unit clearing plan tool</t>
  </si>
  <si>
    <t>Urgent repairs to two DSTV installations in Cape Town (SCM141142)</t>
  </si>
  <si>
    <t>Maintenance and repairs</t>
  </si>
  <si>
    <t xml:space="preserve">Installation and supply of DSTV, LNB cable, dish and bracket </t>
  </si>
  <si>
    <t>N Daniels</t>
  </si>
  <si>
    <t>Vessel operating costs: Ellen Khuzwayo - International Humpback Whale Survey</t>
  </si>
  <si>
    <t>Once-off</t>
  </si>
  <si>
    <t>Service acquired as per signed MOU between DEA and Department of Agriculture, Forestry &amp; Fisheries</t>
  </si>
  <si>
    <t>Tshiqi Zebediela</t>
  </si>
  <si>
    <t>Newsclip Media Monitoring</t>
  </si>
  <si>
    <t>Brand ID</t>
  </si>
  <si>
    <t>Department of Perfomance Monitoring</t>
  </si>
  <si>
    <t>KPMG Services Pty Ltd</t>
  </si>
  <si>
    <t>The Vuvuzela Hotline</t>
  </si>
  <si>
    <t>Western Cape Nature Conservation</t>
  </si>
  <si>
    <t>Isimangaliso swetland</t>
  </si>
  <si>
    <t>Kwa-Zulu Natal Nature Conservation</t>
  </si>
  <si>
    <t>Umoya Nilu Consulting</t>
  </si>
  <si>
    <t>Mabu Management Solutions</t>
  </si>
  <si>
    <t>University of Witwatersrand</t>
  </si>
  <si>
    <t>ARC - ISCN</t>
  </si>
  <si>
    <t>Ntsanwisi M</t>
  </si>
  <si>
    <t>Lockwood KA</t>
  </si>
  <si>
    <t>Jones PA</t>
  </si>
  <si>
    <t>Magomola ME</t>
  </si>
  <si>
    <t>Friedman Y</t>
  </si>
  <si>
    <t>Andzani Technologies</t>
  </si>
  <si>
    <t>Physical Trainer 2 sessions a week, one hour session for 3 months</t>
  </si>
  <si>
    <t>Eco-Logic Publishing CC</t>
  </si>
  <si>
    <t>Nkozi Office Equipment Warehouse</t>
  </si>
  <si>
    <t>Joubert FJ</t>
  </si>
  <si>
    <t>Kohler Refrigiration CC</t>
  </si>
  <si>
    <t>DW Ilbury</t>
  </si>
  <si>
    <t>Umgungundlovu District 22 Art</t>
  </si>
  <si>
    <t>3G Relocations</t>
  </si>
  <si>
    <t>Implementation evaluation of effectiveness of Environmental governance in mining.</t>
  </si>
  <si>
    <t>01/03/2015</t>
  </si>
  <si>
    <t>Hosting of the Enviropeadia eco-logic awards 2015</t>
  </si>
  <si>
    <t>R Modise</t>
  </si>
  <si>
    <t>Repairs of printers for Facilities</t>
  </si>
  <si>
    <t>Artist at International Biodiversity Day celebration in KZN Umgungundlovu Districtin Msunduzi Local Municipality.</t>
  </si>
  <si>
    <t>W Lutsch</t>
  </si>
  <si>
    <t>Appoint a media monitoring service provider for a period of twelve (12) months</t>
  </si>
  <si>
    <t>01/12/2014</t>
  </si>
  <si>
    <t>31/11/2015</t>
  </si>
  <si>
    <t>Media Monitoring</t>
  </si>
  <si>
    <t>Appointment of service provider to conduct in house personnel suitability checks</t>
  </si>
  <si>
    <t>06/07/2015</t>
  </si>
  <si>
    <t>05/07/2017</t>
  </si>
  <si>
    <t>fast-track screening process and enable the Department to appoint suitably screened employees</t>
  </si>
  <si>
    <t xml:space="preserve">Appointment of a Quality Assurance to assist SCM with the reconciliation of the asset disposal  </t>
  </si>
  <si>
    <t>13/02/2015</t>
  </si>
  <si>
    <t>12/05/2015</t>
  </si>
  <si>
    <t>3 months</t>
  </si>
  <si>
    <t>To ensure that all documents including price list based on market value, purchased forms, collection forms. Stocktake forms etc are reconcilling back to the asset register and comply with the relevant policies and prescripts</t>
  </si>
  <si>
    <t>Service provuder for management of hotline</t>
  </si>
  <si>
    <t>36mnths</t>
  </si>
  <si>
    <t>Consulting</t>
  </si>
  <si>
    <t>To manage environmental crime and incident hotline for the Environmental Management Inspectorate</t>
  </si>
  <si>
    <t>Extention of the contract with Tip-Offs Anonimous to manage the Environmental Crimes and Incident Hotline for a period of 2 (two) months</t>
  </si>
  <si>
    <t>31/05/2015</t>
  </si>
  <si>
    <t>2 months</t>
  </si>
  <si>
    <t>To manage the Environmental Crimes and Hotline for a period of two months</t>
  </si>
  <si>
    <t>Amendment of payment schedule and timeframe for Waterburg Bojanala AQMP</t>
  </si>
  <si>
    <t>Approval to revise the Waterberg Bojanala Prioprity Area AQMP Project schedule of activities with no financial implications</t>
  </si>
  <si>
    <t>T Mdluli</t>
  </si>
  <si>
    <t>Extention of scope of work for the project on the requirements for municipalities to undertake AOM functions</t>
  </si>
  <si>
    <t>To support International Climate Change Negotiation and Relations</t>
  </si>
  <si>
    <t>21/09/2012</t>
  </si>
  <si>
    <t>20/09/2017</t>
  </si>
  <si>
    <t>60 months</t>
  </si>
  <si>
    <t xml:space="preserve">Provide analytical support for South Africa's preparations for the </t>
  </si>
  <si>
    <t>M Kekana</t>
  </si>
  <si>
    <t>To conduct a short-term study on the extent of resistance development to NOM 810</t>
  </si>
  <si>
    <t>01/06/2014</t>
  </si>
  <si>
    <t>Research into the extent of insect resistance development to MON 810</t>
  </si>
  <si>
    <t>M Marumo</t>
  </si>
  <si>
    <t xml:space="preserve">Conducting research in phase 1 of desertification, land degrading and drought (DLDD) land cover mapping impact indicator of the united nations convention to combat desertification in order to determine the current status of land degradation and rate of change from 2009 to 2013 as part of the drylands research programme in South Africa </t>
  </si>
  <si>
    <t>01/06/5016</t>
  </si>
  <si>
    <t>31/07/2016</t>
  </si>
  <si>
    <t>Re-advertise and appoint a service provider to conduct research and develop a report on phase 1 of DLDD Land Cover Mapping on UNCCD Impact Indicators in he country for the Drylands Research Programme</t>
  </si>
  <si>
    <t>M Kharika</t>
  </si>
  <si>
    <t>To facilitate a work session of the committee of enquiry appointed by the Minister of Environmental Affairs to consider the possibility of trade in rhino horn as part of the intergrated strategic management of rhino</t>
  </si>
  <si>
    <t>To facilitate a work session of the committee of inquiry</t>
  </si>
  <si>
    <t xml:space="preserve">Transportation and relocation of furniture </t>
  </si>
  <si>
    <t>Transportation</t>
  </si>
  <si>
    <t>Transportation and rlocation of furniture for new official</t>
  </si>
  <si>
    <t xml:space="preserve">Video Editing </t>
  </si>
  <si>
    <t>Video Editing</t>
  </si>
  <si>
    <t>L Mlilo</t>
  </si>
  <si>
    <t>MOU between DEA and The Western Cape Nature Conservation Board</t>
  </si>
  <si>
    <t>Indefinite</t>
  </si>
  <si>
    <t>Management of the Cape Nature Marine Protected Areas (Robberg, Goukamma, De Hoop, Betty's Bay, Stilbaai) and Seabirds on Islands Contract</t>
  </si>
  <si>
    <t>MOU between DEA and iSimangaliso Wetland Park Authority</t>
  </si>
  <si>
    <t>09/07/2015</t>
  </si>
  <si>
    <t>Management of the St Lucia and Maputaland Marine Protected Areas (iSimangaliso Wetland Park)</t>
  </si>
  <si>
    <t>Agreement between DEA and Ezemvelo KZN Wildlife</t>
  </si>
  <si>
    <t>Management of the Aliwal Shoal and Trafalgar Marine Protected Areas by Ezemvelo KZN Wildlife</t>
  </si>
  <si>
    <t xml:space="preserve">Maintenance and service of cold and freezer rooms </t>
  </si>
  <si>
    <t>02/08/2015</t>
  </si>
  <si>
    <t>Maintenance</t>
  </si>
  <si>
    <t>Smit Amandla SA Algulhas</t>
  </si>
  <si>
    <t>Smit Amandla Algoa</t>
  </si>
  <si>
    <t>SITA</t>
  </si>
  <si>
    <t>SA Qualifications</t>
  </si>
  <si>
    <t>Urban - Eco Development Economist</t>
  </si>
  <si>
    <t>Eastern Cape Park and Tourism</t>
  </si>
  <si>
    <t>Endangered Wildlife Trust</t>
  </si>
  <si>
    <t>Africa Resource Trust</t>
  </si>
  <si>
    <t>WWF South Africa</t>
  </si>
  <si>
    <t>Wildlife Poisoning Prevention</t>
  </si>
  <si>
    <t>Mabu Management Solution</t>
  </si>
  <si>
    <t>Mathews &amp; Associates Quantity</t>
  </si>
  <si>
    <t>Inspire to Action Pty Ltd</t>
  </si>
  <si>
    <t>Chubb Security SA</t>
  </si>
  <si>
    <t>Better Security &amp; Protection</t>
  </si>
  <si>
    <t>Baswabile Communications &amp; Production</t>
  </si>
  <si>
    <t>3G Relocations &amp; Transport</t>
  </si>
  <si>
    <t>Bergman SM</t>
  </si>
  <si>
    <t>Anders DR</t>
  </si>
  <si>
    <t>DR Du Buisson Kramer, Swart</t>
  </si>
  <si>
    <t>Bisset AJ</t>
  </si>
  <si>
    <t xml:space="preserve">31/03/2016 </t>
  </si>
  <si>
    <t>CG Plastics CC</t>
  </si>
  <si>
    <t>SITA to assist the Department with the review and implementation of the Corporate Governance of ITC Policy Framework, Phase 2 deliverables</t>
  </si>
  <si>
    <t>Request to increase fund from R 400 00.00 to R 499 411.88 and appointment of a service provider to conduct a longitudinal review of local government supports programmes within the environmental sector</t>
  </si>
  <si>
    <t>01/08/2015</t>
  </si>
  <si>
    <t>7 months</t>
  </si>
  <si>
    <t>Rreview and implementation of the Corporate Governance of ITC Policy Framework, Phase 2 deliverables</t>
  </si>
  <si>
    <t>Conduct a longitudinal review of local government supports programmes within the environmental sector</t>
  </si>
  <si>
    <t>K Tlouane</t>
  </si>
  <si>
    <t>Production of Anti-Rhino poaching</t>
  </si>
  <si>
    <t>To develop and produce a rhino anti-poaching video to raise awareness on rhino poaching</t>
  </si>
  <si>
    <t>Management and leadership development</t>
  </si>
  <si>
    <t xml:space="preserve">To facilitate the DEA Learning Network </t>
  </si>
  <si>
    <t xml:space="preserve">Moving of household furniture for a Departmental official from Emerlo to Pretoria for a new official Ms B Mabaso </t>
  </si>
  <si>
    <t>S Bapela</t>
  </si>
  <si>
    <t>SLA with EWT to administer funds on behalf of the Rhino Management Group(RGM) appointed to undertake a survey involving private rhino owners in South Africa to obtain information relating to various matters concerning ownership</t>
  </si>
  <si>
    <t>01/05/2015</t>
  </si>
  <si>
    <t>Colaboration on implementation of the people and parks programme toolkit</t>
  </si>
  <si>
    <t>19/08/2014</t>
  </si>
  <si>
    <t>18/08/2017</t>
  </si>
  <si>
    <t>36 months</t>
  </si>
  <si>
    <t>Administer funds on behalf of the Rhino Management Group(RGM) appointed to undertake a survey involving private rhino owners in South Africa to obtain information relating to various matters concerning ownership</t>
  </si>
  <si>
    <t>T Carroll</t>
  </si>
  <si>
    <t>Implementation of the people and parks programme toolkit</t>
  </si>
  <si>
    <t>Service provider to assist the DEA in the development of an Environmental Sector Job Creation Framework</t>
  </si>
  <si>
    <t>To undertake the review of norms and standards for training programmes within environmental protaction and infrastructure programmes</t>
  </si>
  <si>
    <t>10/07/2015</t>
  </si>
  <si>
    <t>09/12/2015</t>
  </si>
  <si>
    <t>5 months</t>
  </si>
  <si>
    <t>To assist DEA in the development of an Environmental Sector Job Cration Framework</t>
  </si>
  <si>
    <t>Undertake the review of norms and standards for training programmes within environmental protaction and infrastructure programmes</t>
  </si>
  <si>
    <t xml:space="preserve">Committee of Inquiry meeting </t>
  </si>
  <si>
    <t>Committee of inquiry investigation international trade proposals involving white rhino and african elephant in prep for cites COP17</t>
  </si>
  <si>
    <t>Servicing of fire extinguishers and hosereels</t>
  </si>
  <si>
    <t xml:space="preserve">Maintenance </t>
  </si>
  <si>
    <t>To service fire extinguishers and hosereels</t>
  </si>
  <si>
    <t>Memorandum of understanding entered into between DEA and the Eastern Cape Parks and Tourism Agency</t>
  </si>
  <si>
    <t>Management of MPA's that are proximate to or share common boundaries with areas managed by the EC Parks and Tourism Agency</t>
  </si>
  <si>
    <t>Supply of sledge spares</t>
  </si>
  <si>
    <t>31/08/2015</t>
  </si>
  <si>
    <t>Sledge spares</t>
  </si>
  <si>
    <t>Memorandum of agreement entered into by DEA and Wildlife Poisoning Prevention and Conflict resolution</t>
  </si>
  <si>
    <t>Consultancy fees</t>
  </si>
  <si>
    <t xml:space="preserve">To assist DEA in the continuation of National Invasive Animal Forum Coordination </t>
  </si>
  <si>
    <t>Specialised Skills Institute</t>
  </si>
  <si>
    <t>Talbot &amp; Talbot Pty Ltd</t>
  </si>
  <si>
    <t>Daff Miscellaneous Deposits</t>
  </si>
  <si>
    <t>Ernest and Young Advisory Services</t>
  </si>
  <si>
    <t>Blackspot Butterfly Trading CC</t>
  </si>
  <si>
    <t>Frameworks</t>
  </si>
  <si>
    <t>University of Pretoria</t>
  </si>
  <si>
    <t>LMC Project Management Pty Ltd</t>
  </si>
  <si>
    <t>GA Environment Pty Ltd</t>
  </si>
  <si>
    <t>Sustainable Environmental Solutions</t>
  </si>
  <si>
    <t>University of Stellenbosch</t>
  </si>
  <si>
    <t>Aurecon South Africa Pty Ltd</t>
  </si>
  <si>
    <t>Business Connexion</t>
  </si>
  <si>
    <t>MK Saffodien</t>
  </si>
  <si>
    <t>M-Tech SA Pty Ltd</t>
  </si>
  <si>
    <t>Theblv Coaching</t>
  </si>
  <si>
    <t>John Tibane Consulting Services</t>
  </si>
  <si>
    <t>Ampere Technical Staging CC</t>
  </si>
  <si>
    <t>Joubert Fj</t>
  </si>
  <si>
    <t>Altese Trading</t>
  </si>
  <si>
    <t>Izingane Zoma Music Promotions</t>
  </si>
  <si>
    <t>NZ Transport n&amp; Projects</t>
  </si>
  <si>
    <t>Market Demand Trading</t>
  </si>
  <si>
    <t>Appointment of SAQA for the verification of qualifications</t>
  </si>
  <si>
    <t>Verification of qualifications</t>
  </si>
  <si>
    <t>Appointment of a service provider for co-sourcing the Internal Audit Services of Environmental Affairs</t>
  </si>
  <si>
    <t>Co-sourcing the Internal Audit Services of Environmental Affairs</t>
  </si>
  <si>
    <t>V Steyn</t>
  </si>
  <si>
    <t>The implementation of the Transformation Employee Health and Wellness Schedules for 2015/16</t>
  </si>
  <si>
    <t>Facilitator for Diversity Workshop</t>
  </si>
  <si>
    <t>SLA with the Veterinary Genetics Laboratory (VGL) at Onderstepoort on genetic ptofiling for rhinoceros in South Africa</t>
  </si>
  <si>
    <t>52 months</t>
  </si>
  <si>
    <t>Professional</t>
  </si>
  <si>
    <t>Genetic ptofiling for rhinoceros in South Africa</t>
  </si>
  <si>
    <t>Standing order for sample analysis 2015/16</t>
  </si>
  <si>
    <t>To create standing order for chemical sample analysis for the Environmental Management Inspectors in Directorate: Enforcement (ENV. IMP &amp; POLL)</t>
  </si>
  <si>
    <t>To assist DEA with the development of an Environmental Risk Assessment Framework for Genetically Modified Pharmaceutical crops (Pharma crops)</t>
  </si>
  <si>
    <t>Development of an Environmental Risk Assessment Framework for Genetically Modified Pharmaceutical crops (Pharma crops)</t>
  </si>
  <si>
    <t>Development of Protected Areas Sustainable Financining Strategies / Models for State Managed Protected Areas Management Authorities</t>
  </si>
  <si>
    <t>To facilitate the development of Protected Areas Sustainable Financining Strategies / Models for State Managed Protected Areas Management Authorities</t>
  </si>
  <si>
    <t>Hosting of the Africa Regional Preparatory Meeting towards the Twelfth Session of the Conference of the Parties (COP 12) of the United Nations Convention to Combat Desertification (UNCCD) in 2015 prior to Cop 12, as part of South Africa's Chairmnship of the African Group</t>
  </si>
  <si>
    <t>The commemoration of the World Day to Combat Dessertification (WDCD) in KwaZulu-Natal Province on the 17 June 2015</t>
  </si>
  <si>
    <t>The commemoration of the World Day to Combat Desertification (WDCD) in KwaZulu-Natal Province on the 17 June 2015</t>
  </si>
  <si>
    <t>Procurement of equipment for cross-border events</t>
  </si>
  <si>
    <t>Africa Regional Preparatory Meeting towards the Twelfth Session of the Conference of the Parties (COP 12) of the United Nations Convention to Combat Desertification (UNCCD) in 2015 prior to Cop 12, as part of South Africa's Chairmnship of the African Group</t>
  </si>
  <si>
    <t>World Day to Combat Dessertification (WDCD) in KwaZulu-Natal Province on the 17 June 2015</t>
  </si>
  <si>
    <t>Bush Camp Accessories</t>
  </si>
  <si>
    <t>S Mancontwya</t>
  </si>
  <si>
    <t>Service provider for the provision of support, maintenance and enhancement services to existing systems required for the management of EPWP Projects by the Branch: Environmental Programmes for a period of 3 years, using the SITA RFB 570/2007 tranversal contract</t>
  </si>
  <si>
    <t>01/07/2015</t>
  </si>
  <si>
    <t>30/06/2018</t>
  </si>
  <si>
    <t>Service provider to assist the DEA in the development of an Advocacy Framework for the Environmental Sector</t>
  </si>
  <si>
    <t>14/08/2015</t>
  </si>
  <si>
    <t>13/02/2016</t>
  </si>
  <si>
    <t>Provision of support, maintenance and enhancement services to existing systems required for the management of EPWP Projects by the Branch: Environmental Programmes for a period of 3 years using the SITA RFB 570/2007 tranversal contract</t>
  </si>
  <si>
    <t>Development of an Advocacy Framework for the Environmental Sector</t>
  </si>
  <si>
    <t>Prosecute in disciplinary hearing</t>
  </si>
  <si>
    <t>Appointment of service provider to manage waste management licence applications for unlicensed municipal waste disposal facilities in vatious provinces(South Africa)</t>
  </si>
  <si>
    <t>15/09/2015</t>
  </si>
  <si>
    <t>14/05/2017</t>
  </si>
  <si>
    <t>15/09/2016</t>
  </si>
  <si>
    <t>14/05/2018</t>
  </si>
  <si>
    <t>Manage waste management licence applications for unlicensed municipal waste disposal facilities in vatious provinces(South Africa)</t>
  </si>
  <si>
    <t>T Gordon</t>
  </si>
  <si>
    <t>Health and Safety Consulting Services</t>
  </si>
  <si>
    <t>Consultancy</t>
  </si>
  <si>
    <t>Preparation of evacuation procedure and implementation for 3 buildings</t>
  </si>
  <si>
    <t>Relocation of Furniture</t>
  </si>
  <si>
    <t>No internal capacity</t>
  </si>
  <si>
    <t>Telephone system repairs</t>
  </si>
  <si>
    <t>I Qaqane</t>
  </si>
  <si>
    <t>Uprading OHS Laboratories</t>
  </si>
  <si>
    <t>24/11/2014</t>
  </si>
  <si>
    <t>4 months</t>
  </si>
  <si>
    <t>Research advisory</t>
  </si>
  <si>
    <t>Upgrading the laboratories in the Foretrust building to become OHS complaint.</t>
  </si>
  <si>
    <t>A Naidoo</t>
  </si>
  <si>
    <t>National Marine week campaign and launch</t>
  </si>
  <si>
    <t>05/10/2015</t>
  </si>
  <si>
    <t>10/10/2015</t>
  </si>
  <si>
    <t>Facilitation</t>
  </si>
  <si>
    <t>Set-up and enhance the National Marine week exhibition</t>
  </si>
  <si>
    <t>A Johnson</t>
  </si>
  <si>
    <t>01/04/2013</t>
  </si>
  <si>
    <t>31/03/2018</t>
  </si>
  <si>
    <t>Research on priority invasive species</t>
  </si>
  <si>
    <t>A Khan</t>
  </si>
  <si>
    <t>Oceans economy operations Phakisa Aquaculture</t>
  </si>
  <si>
    <t>M Swift</t>
  </si>
  <si>
    <t>Digimaker CMS software subscription</t>
  </si>
  <si>
    <t>Digimaker CMS and license support for domain</t>
  </si>
  <si>
    <t>A Mapye</t>
  </si>
  <si>
    <t>tracing agents</t>
  </si>
  <si>
    <t>Agent</t>
  </si>
  <si>
    <t>Tracing agents in respect of Sentoabane PP</t>
  </si>
  <si>
    <t>Planning Engineers</t>
  </si>
  <si>
    <t>31/04/2016</t>
  </si>
  <si>
    <t>Planning Engineers for wetland Rehabilitation Programmes.</t>
  </si>
  <si>
    <t>A Bahudur</t>
  </si>
  <si>
    <t>Palmer Development Group</t>
  </si>
  <si>
    <t>Seninhle Occupational Health Sevices</t>
  </si>
  <si>
    <t>City of Cape Town</t>
  </si>
  <si>
    <t>Linlos Investments 2CC</t>
  </si>
  <si>
    <t>Congress Rental Logistics Pty Ltd</t>
  </si>
  <si>
    <t>Shaw JA</t>
  </si>
  <si>
    <t>Khabokedi Management CC</t>
  </si>
  <si>
    <t>Liyema Advertising</t>
  </si>
  <si>
    <t>Blackspotted Butterfly Trading</t>
  </si>
  <si>
    <t>SK Page</t>
  </si>
  <si>
    <t>Talwin Consulting</t>
  </si>
  <si>
    <t>Siswana K</t>
  </si>
  <si>
    <t>Lamont TA</t>
  </si>
  <si>
    <t>Boland Promotion</t>
  </si>
  <si>
    <t>Zenande Leadership Consulting</t>
  </si>
  <si>
    <t>Events management</t>
  </si>
  <si>
    <t>Managing the International Coastal clean-up day event</t>
  </si>
  <si>
    <t>Graphic Design</t>
  </si>
  <si>
    <t>Graphic Designers</t>
  </si>
  <si>
    <t>Designing of evacuation maps</t>
  </si>
  <si>
    <t>MOU for management of the Helderberg Marine Proctected Area</t>
  </si>
  <si>
    <t>03/07/2009</t>
  </si>
  <si>
    <t>Corporate gifs</t>
  </si>
  <si>
    <t>Corporate gifts</t>
  </si>
  <si>
    <t>Corporate gifts for National Marine week</t>
  </si>
  <si>
    <t>The appointment of a suitable service provider to assist the Department of Environmental Affairs (DEA) in the implementing Phase 1 of a project to develop, populate and maintanin a complete, current and accurate of Metadata on all of the significant information and knowledge management systems relating to the environmental management system. natural resources quality, pollution release and transfere. land use and land usage change etc.</t>
  </si>
  <si>
    <t>21/05/2015</t>
  </si>
  <si>
    <t>06 momths</t>
  </si>
  <si>
    <t>To assist the Department of Environmental Affairs (DEA) in the implementing Phase 1 of a project to develop, populate and maintanin a complete, current and accurate of Metadata on all of the significant information and knowledge management systems relating to the environmental management system. natural resources quality, pollution release and transfere. land use and land usage change etc.</t>
  </si>
  <si>
    <t>Appointment of a service provider to edit maps for the South Africa Environmental Outlook 2012 Report</t>
  </si>
  <si>
    <t>Consultancy Services</t>
  </si>
  <si>
    <t>Edit maps for the South Africa Environmental Outlook 2012 Report</t>
  </si>
  <si>
    <t>TE Ramaru</t>
  </si>
  <si>
    <t>Appointment of a service provider for the development of an Occupational Health and Safety Programme for the Environmental Management Inspectors at the Department of Environmental Affairs</t>
  </si>
  <si>
    <t>Development of an Occupational Health and Safety Programme for the Environmental Management Inspectors at the Department of Environmental Affairs</t>
  </si>
  <si>
    <t xml:space="preserve">Service Level Agreement with the Council for Scientifixc and Industrial Research(CSIR) for the purpose of providing expert advice to the Minister in relation to appeals lodged against the Environmental Authyorisation issued to Boegoeberg Hydro Power Station (PTY) TLD and its Associated Infrastructure at Boegoeberg Dam near Groblershoop, Northern Cape </t>
  </si>
  <si>
    <t>L Garlipp</t>
  </si>
  <si>
    <t>Full Day Facilitation</t>
  </si>
  <si>
    <t>MI Abader</t>
  </si>
  <si>
    <t>Moving of household furniture for a Departmental official from Mossel Bay to Pretoria for a new official Mr A Forbes</t>
  </si>
  <si>
    <t>To appoint service provider to provide technical support for the UNFCCC negotiations as a Single Source Service Provider</t>
  </si>
  <si>
    <t>06 months</t>
  </si>
  <si>
    <t>To provide technical support for the UNFCCC negotiations as a Single Source Service Provider</t>
  </si>
  <si>
    <t>Approval to appoint Zenande Leadership Consulting as a Single Source Service Provider to facilitate the Climate Change Air Quality Brach Strategic Session in the period 17-18 September 2015</t>
  </si>
  <si>
    <t>To facilitate the Climate Change Air Quality Brach Strategic Session in the period 17-18 September 2015</t>
  </si>
  <si>
    <t>D Ngobeni</t>
  </si>
  <si>
    <t>Service provider for the interpretation services during the Africa Regional Preparatory Meeting Towards the Twelfth Session of the Conference of the Parties(COP 12) from 31 August to 04 September 2015</t>
  </si>
  <si>
    <t xml:space="preserve">Interpretation services </t>
  </si>
  <si>
    <t>Appointment of a service provider to assist the Department (DEA) to determine the status and role of waste pickers in the country and train them</t>
  </si>
  <si>
    <t>15/01/2014</t>
  </si>
  <si>
    <t>14/07/2015</t>
  </si>
  <si>
    <t>To assist the Department (DEA) to determine the status and role of waste pickers in the country and train them</t>
  </si>
  <si>
    <t>NZ Cobbinah</t>
  </si>
  <si>
    <t>R Pillay</t>
  </si>
  <si>
    <t>Matlabani &amp; Trailor-Made Risk</t>
  </si>
  <si>
    <t>Madifahle &amp; Trailor-Made Risk</t>
  </si>
  <si>
    <t>Kayamnandi Development ervices</t>
  </si>
  <si>
    <t>Group Effort Entertainment</t>
  </si>
  <si>
    <t>State atorney services</t>
  </si>
  <si>
    <t>Equipment and marqees for the World Migratory Birds Event on 15 October 2015 at the Marievale Bird Sanctuary Nature Reserve</t>
  </si>
  <si>
    <t xml:space="preserve">Equipment and marqees for the World Migratory Birds Event </t>
  </si>
  <si>
    <t>Service provider to support DEA with conducting the economic and environmental impact of programmes within the EP Branch of the Department of Environmental Affairs for a period of three years</t>
  </si>
  <si>
    <t>Support DEA with conducting the economic and environmental impact of programmes within the EP Branch of the Department of Environmental Affairs for a period of three years</t>
  </si>
  <si>
    <t>36  months</t>
  </si>
  <si>
    <t>M Govender</t>
  </si>
  <si>
    <t>Appointment of service providers for the licensing of unlicensed waste disposal facilities</t>
  </si>
  <si>
    <t>24/07/2015</t>
  </si>
  <si>
    <t>23/01/2017</t>
  </si>
  <si>
    <t>27/07/2015</t>
  </si>
  <si>
    <t>26/07/2017</t>
  </si>
  <si>
    <t>Moving of household furniture for a Departmental official from Emerlo to Pretoria for a new official Ms T Telekisa</t>
  </si>
  <si>
    <t>GT Moremi</t>
  </si>
  <si>
    <t>SUMMARY OF EXPENDITURE:  CONSULTANTS, CONTRACTORS AND ADVISORY SERVICES FOR THE PERIOD 01 APRIL 2015 - 31 DECEMBER2015</t>
  </si>
  <si>
    <t>TOTAL EXPENDITURE PER PROG  FROM APRIL -DEC 2015</t>
  </si>
  <si>
    <t xml:space="preserve">Tshiqi Zebediela </t>
  </si>
  <si>
    <t>The South African Nuclear Energy</t>
  </si>
  <si>
    <t xml:space="preserve">Price Water Coopers </t>
  </si>
  <si>
    <t>South African Local Governmet</t>
  </si>
  <si>
    <t>Isolveit Consulting ty Ltd</t>
  </si>
  <si>
    <t>Talbot&amp;Talbot Pty Ltd</t>
  </si>
  <si>
    <t>Enviroxcellence Services pty Ltd</t>
  </si>
  <si>
    <t>Research and development position paper</t>
  </si>
  <si>
    <t>15/06/2015</t>
  </si>
  <si>
    <t>14/11/2015</t>
  </si>
  <si>
    <t>Review and profile the Local Government Support programmes within the Environment Sector and developmet of Environmental Legal Protocol for Local Governmet Sector.</t>
  </si>
  <si>
    <t>L Dombo</t>
  </si>
  <si>
    <t>Appointment of a qualified assessor or assessment team to perform the external quality assessment for the Directorate: Internal Audit</t>
  </si>
  <si>
    <t>Consiltancy</t>
  </si>
  <si>
    <t>To perform the external quality assessment for the Directorate: Internal Audit</t>
  </si>
  <si>
    <t>Service provider for the technical, academic and content management of the first chemical and land remidiation conference: 5-7 October 2.15</t>
  </si>
  <si>
    <t>Catering</t>
  </si>
  <si>
    <t>SM Molefe</t>
  </si>
  <si>
    <t>Licensing of unlicensed waste disposal facilities</t>
  </si>
  <si>
    <t>Removals</t>
  </si>
  <si>
    <t>Agreement between DEA and Talbot &amp; Talbot for collection, analysis and reporting of water quality samples</t>
  </si>
  <si>
    <t>11/11/2015</t>
  </si>
  <si>
    <t>Appointment of service provider for the collection, analysis and reportting of water quality samples taken at the second beach, Bulolo and Umzimvubu estuaries Port St Johns</t>
  </si>
  <si>
    <t>MOU between DEA and Council for Scientific and Industrial Research</t>
  </si>
  <si>
    <t>21/12/2015</t>
  </si>
  <si>
    <t>DEA Coastal vulnerability Assessment Phase 3</t>
  </si>
  <si>
    <t>Matcom Technologies</t>
  </si>
  <si>
    <t>Change Partners Coacing Pty Ltd</t>
  </si>
  <si>
    <t>Edlyway Transport &amp; Cranes CC</t>
  </si>
  <si>
    <t>Team coaching</t>
  </si>
  <si>
    <t>Faculitation of workshop for LACE</t>
  </si>
  <si>
    <t>Printing of CD's</t>
  </si>
  <si>
    <t>Printing &amp; Publication</t>
  </si>
  <si>
    <t>Layout, design and printing of non motorized transport best practice manual</t>
  </si>
  <si>
    <t>J Badul</t>
  </si>
  <si>
    <t>Transportstion</t>
  </si>
  <si>
    <t>Transportation of 4caterpillar machines, bucket and blade from Bellville to V&amp;A Waterfront.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</si>
</sst>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0"/>
  </numFmts>
  <fonts count="14" x14ac:knownFonts="1">
    <font>
      <sz val="11"/>
      <color theme="1"/>
      <name val="Calibri"/>
      <family val="2"/>
      <scheme val="minor"/>
    </font>
    <font>
      <b/>
      <sz val="14"/>
      <color theme="1"/>
      <name val="Calibri"/>
      <family val="2"/>
      <scheme val="minor"/>
    </font>
    <font>
      <sz val="14"/>
      <color theme="1"/>
      <name val="Arial"/>
      <family val="2"/>
    </font>
    <font>
      <sz val="14"/>
      <name val="Arial"/>
      <family val="2"/>
    </font>
    <font>
      <sz val="14"/>
      <color theme="1"/>
      <name val="Calibri"/>
      <family val="2"/>
      <scheme val="minor"/>
    </font>
    <font>
      <b/>
      <sz val="14"/>
      <color theme="1"/>
      <name val="Arial"/>
      <family val="2"/>
    </font>
    <font>
      <b/>
      <sz val="14"/>
      <name val="Arial"/>
      <family val="2"/>
    </font>
    <font>
      <b/>
      <sz val="16"/>
      <color theme="1"/>
      <name val="Arial"/>
      <family val="2"/>
    </font>
    <font>
      <b/>
      <sz val="16"/>
      <color theme="1"/>
      <name val="Calibri"/>
      <family val="2"/>
      <scheme val="minor"/>
    </font>
    <font>
      <b/>
      <sz val="16"/>
      <name val="Arial"/>
      <family val="2"/>
    </font>
    <font>
      <sz val="16"/>
      <color theme="1"/>
      <name val="Arial"/>
      <family val="2"/>
    </font>
    <font>
      <b/>
      <sz val="18"/>
      <color theme="1"/>
      <name val="Calibri"/>
      <family val="2"/>
      <scheme val="minor"/>
    </font>
    <font>
      <sz val="18"/>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medium">
        <color indexed="64"/>
      </top>
      <bottom/>
      <diagonal/>
    </border>
    <border>
      <left/>
      <right/>
      <top/>
      <bottom style="medium">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auto="1"/>
      </left>
      <right/>
      <top/>
      <bottom/>
      <diagonal/>
    </border>
    <border>
      <left style="double">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auto="1"/>
      </left>
      <right style="thin">
        <color auto="1"/>
      </right>
      <top/>
      <bottom/>
      <diagonal/>
    </border>
    <border>
      <left style="double">
        <color auto="1"/>
      </left>
      <right/>
      <top style="medium">
        <color indexed="64"/>
      </top>
      <bottom/>
      <diagonal/>
    </border>
  </borders>
  <cellStyleXfs count="2">
    <xf numFmtId="0" fontId="0" fillId="0" borderId="0"/>
    <xf numFmtId="43" fontId="13" fillId="0" borderId="0" applyFont="0" applyFill="0" applyBorder="0" applyAlignment="0" applyProtection="0"/>
  </cellStyleXfs>
  <cellXfs count="482">
    <xf numFmtId="0" fontId="0" fillId="0" borderId="0" xfId="0"/>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9"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4" fontId="2" fillId="2"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4" fontId="3" fillId="2"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xf>
    <xf numFmtId="0" fontId="2" fillId="0" borderId="1" xfId="0" applyFont="1" applyBorder="1" applyAlignment="1">
      <alignment vertical="top" wrapText="1"/>
    </xf>
    <xf numFmtId="9" fontId="2" fillId="0" borderId="1" xfId="0" applyNumberFormat="1" applyFont="1" applyBorder="1" applyAlignment="1">
      <alignment horizontal="center" vertical="top" wrapText="1"/>
    </xf>
    <xf numFmtId="4"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2" fillId="2" borderId="0" xfId="0" applyFont="1" applyFill="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top"/>
    </xf>
    <xf numFmtId="0" fontId="2" fillId="0" borderId="0" xfId="0" applyFont="1" applyAlignment="1">
      <alignment vertical="top"/>
    </xf>
    <xf numFmtId="0" fontId="5" fillId="0" borderId="1" xfId="0" applyFont="1" applyBorder="1" applyAlignment="1">
      <alignment horizontal="left" vertical="top" wrapText="1"/>
    </xf>
    <xf numFmtId="0" fontId="2" fillId="0" borderId="1" xfId="0" applyFont="1" applyBorder="1" applyAlignment="1">
      <alignment horizontal="left" vertical="top"/>
    </xf>
    <xf numFmtId="17" fontId="2" fillId="0" borderId="1" xfId="0" applyNumberFormat="1" applyFont="1" applyBorder="1" applyAlignment="1">
      <alignment horizontal="left" vertical="top" wrapText="1"/>
    </xf>
    <xf numFmtId="15" fontId="2" fillId="0" borderId="1" xfId="0" applyNumberFormat="1" applyFont="1" applyBorder="1" applyAlignment="1">
      <alignment horizontal="left" vertical="top" wrapText="1"/>
    </xf>
    <xf numFmtId="0" fontId="2" fillId="0" borderId="1" xfId="0" applyFont="1" applyBorder="1" applyAlignment="1">
      <alignment horizontal="center" vertical="top"/>
    </xf>
    <xf numFmtId="0" fontId="2" fillId="0" borderId="0" xfId="0" applyFont="1" applyFill="1" applyAlignment="1">
      <alignment vertical="top" wrapText="1"/>
    </xf>
    <xf numFmtId="0" fontId="5" fillId="2" borderId="1" xfId="0" applyFont="1" applyFill="1" applyBorder="1" applyAlignment="1">
      <alignment vertical="top" wrapText="1"/>
    </xf>
    <xf numFmtId="4" fontId="5" fillId="0" borderId="1" xfId="0" applyNumberFormat="1" applyFont="1" applyFill="1" applyBorder="1" applyAlignment="1">
      <alignment vertical="top" wrapText="1"/>
    </xf>
    <xf numFmtId="0" fontId="2" fillId="0" borderId="0" xfId="0" applyFont="1" applyAlignment="1">
      <alignment vertical="top" wrapText="1"/>
    </xf>
    <xf numFmtId="0" fontId="2" fillId="0" borderId="0" xfId="0" applyFont="1" applyBorder="1" applyAlignment="1">
      <alignment horizontal="left" vertical="top"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17" fontId="3" fillId="2"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10" fontId="2" fillId="0" borderId="1" xfId="0" applyNumberFormat="1" applyFont="1" applyBorder="1" applyAlignment="1">
      <alignment vertical="top" wrapText="1"/>
    </xf>
    <xf numFmtId="0" fontId="5" fillId="0" borderId="1" xfId="0" applyFont="1" applyBorder="1" applyAlignment="1">
      <alignment vertical="top" wrapText="1"/>
    </xf>
    <xf numFmtId="0" fontId="5" fillId="0" borderId="0" xfId="0" applyFont="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4" fontId="2" fillId="0" borderId="0" xfId="0" applyNumberFormat="1" applyFont="1" applyFill="1" applyBorder="1" applyAlignment="1">
      <alignment vertical="top" wrapText="1"/>
    </xf>
    <xf numFmtId="0" fontId="5" fillId="0" borderId="0" xfId="0" applyFont="1" applyAlignment="1">
      <alignment vertical="top" wrapText="1"/>
    </xf>
    <xf numFmtId="0" fontId="6" fillId="0" borderId="1" xfId="0" applyFont="1" applyBorder="1" applyAlignment="1">
      <alignment vertical="top" wrapText="1"/>
    </xf>
    <xf numFmtId="0" fontId="3" fillId="0" borderId="1" xfId="0" applyFont="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horizontal="left" vertical="top" wrapText="1"/>
    </xf>
    <xf numFmtId="4" fontId="5" fillId="0" borderId="0" xfId="0" applyNumberFormat="1" applyFont="1" applyAlignment="1">
      <alignment horizontal="left" vertical="top"/>
    </xf>
    <xf numFmtId="4" fontId="2" fillId="0" borderId="0" xfId="0" applyNumberFormat="1"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xf>
    <xf numFmtId="4" fontId="2" fillId="0" borderId="0" xfId="0" applyNumberFormat="1" applyFont="1" applyAlignment="1">
      <alignment horizontal="center" vertical="top"/>
    </xf>
    <xf numFmtId="14" fontId="2" fillId="0" borderId="0" xfId="0" applyNumberFormat="1" applyFont="1" applyAlignment="1">
      <alignment horizontal="center" vertical="top"/>
    </xf>
    <xf numFmtId="14" fontId="2" fillId="0" borderId="0" xfId="0" applyNumberFormat="1" applyFont="1" applyAlignment="1">
      <alignment horizontal="left" vertical="top"/>
    </xf>
    <xf numFmtId="0" fontId="5" fillId="2" borderId="0" xfId="0" applyFont="1" applyFill="1" applyAlignment="1">
      <alignment vertical="top"/>
    </xf>
    <xf numFmtId="0" fontId="2" fillId="2" borderId="0" xfId="0" applyFont="1" applyFill="1" applyAlignment="1">
      <alignment vertical="top"/>
    </xf>
    <xf numFmtId="4" fontId="5" fillId="0" borderId="1" xfId="0" applyNumberFormat="1" applyFont="1" applyBorder="1" applyAlignment="1">
      <alignment vertical="top"/>
    </xf>
    <xf numFmtId="9" fontId="2" fillId="2" borderId="1" xfId="0" applyNumberFormat="1" applyFont="1" applyFill="1" applyBorder="1" applyAlignment="1">
      <alignment vertical="top" wrapText="1"/>
    </xf>
    <xf numFmtId="17" fontId="3" fillId="0" borderId="1" xfId="0" applyNumberFormat="1" applyFont="1" applyFill="1" applyBorder="1" applyAlignment="1">
      <alignment horizontal="left" vertical="top" wrapText="1"/>
    </xf>
    <xf numFmtId="9" fontId="2" fillId="0" borderId="1" xfId="0" applyNumberFormat="1" applyFont="1" applyFill="1" applyBorder="1" applyAlignment="1">
      <alignment vertical="top" wrapText="1"/>
    </xf>
    <xf numFmtId="4" fontId="2" fillId="0" borderId="1" xfId="0" applyNumberFormat="1" applyFont="1" applyFill="1" applyBorder="1" applyAlignment="1">
      <alignment horizontal="right" vertical="top" wrapText="1"/>
    </xf>
    <xf numFmtId="4" fontId="2" fillId="2" borderId="1" xfId="0" applyNumberFormat="1" applyFont="1" applyFill="1" applyBorder="1" applyAlignment="1">
      <alignment horizontal="right" vertical="top" wrapText="1"/>
    </xf>
    <xf numFmtId="0" fontId="2" fillId="6" borderId="0" xfId="0" applyFont="1" applyFill="1" applyAlignment="1">
      <alignment vertical="top" wrapText="1"/>
    </xf>
    <xf numFmtId="17" fontId="2" fillId="2" borderId="8" xfId="0" applyNumberFormat="1" applyFont="1" applyFill="1" applyBorder="1" applyAlignment="1">
      <alignment horizontal="left" vertical="top" wrapText="1"/>
    </xf>
    <xf numFmtId="0" fontId="2" fillId="2" borderId="6" xfId="0" applyFont="1" applyFill="1" applyBorder="1" applyAlignment="1">
      <alignment horizontal="left" vertical="top" wrapText="1"/>
    </xf>
    <xf numFmtId="4" fontId="5" fillId="3" borderId="1" xfId="0" applyNumberFormat="1" applyFont="1" applyFill="1" applyBorder="1" applyAlignment="1">
      <alignment vertical="top" wrapText="1"/>
    </xf>
    <xf numFmtId="16" fontId="3" fillId="0" borderId="1"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4" fontId="2" fillId="0" borderId="1" xfId="0" applyNumberFormat="1" applyFont="1" applyFill="1" applyBorder="1" applyAlignment="1">
      <alignment horizontal="left" vertical="top" wrapText="1"/>
    </xf>
    <xf numFmtId="4" fontId="3" fillId="0" borderId="1" xfId="0" applyNumberFormat="1" applyFont="1" applyBorder="1" applyAlignment="1">
      <alignment vertical="top" wrapText="1"/>
    </xf>
    <xf numFmtId="17" fontId="3" fillId="0" borderId="8" xfId="0" applyNumberFormat="1" applyFont="1" applyFill="1" applyBorder="1" applyAlignment="1">
      <alignment horizontal="left" vertical="top" wrapText="1"/>
    </xf>
    <xf numFmtId="9" fontId="2" fillId="0" borderId="8" xfId="0" applyNumberFormat="1" applyFont="1" applyFill="1" applyBorder="1" applyAlignment="1">
      <alignment horizontal="center" vertical="top" wrapText="1"/>
    </xf>
    <xf numFmtId="4" fontId="6" fillId="3" borderId="1" xfId="0" applyNumberFormat="1"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wrapText="1"/>
    </xf>
    <xf numFmtId="0" fontId="2" fillId="2" borderId="7" xfId="0" applyFont="1" applyFill="1" applyBorder="1" applyAlignment="1">
      <alignment horizontal="left" vertical="top"/>
    </xf>
    <xf numFmtId="9" fontId="2" fillId="2" borderId="1" xfId="0" applyNumberFormat="1" applyFont="1" applyFill="1" applyBorder="1" applyAlignment="1">
      <alignment horizontal="left" vertical="top" wrapText="1"/>
    </xf>
    <xf numFmtId="9" fontId="2" fillId="0" borderId="1" xfId="0" applyNumberFormat="1" applyFont="1" applyFill="1" applyBorder="1" applyAlignment="1">
      <alignment horizontal="left" vertical="top" wrapText="1"/>
    </xf>
    <xf numFmtId="4" fontId="2" fillId="0" borderId="0" xfId="0" applyNumberFormat="1" applyFont="1" applyAlignment="1">
      <alignment vertical="top"/>
    </xf>
    <xf numFmtId="0" fontId="5" fillId="0" borderId="0" xfId="0" applyFont="1" applyFill="1" applyBorder="1" applyAlignment="1">
      <alignment vertical="top" wrapText="1"/>
    </xf>
    <xf numFmtId="0" fontId="2" fillId="0" borderId="0" xfId="0" applyFont="1"/>
    <xf numFmtId="0" fontId="4" fillId="0" borderId="0" xfId="0" applyFont="1"/>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Fill="1" applyBorder="1" applyAlignment="1">
      <alignment horizontal="left" vertical="top"/>
    </xf>
    <xf numFmtId="0" fontId="3" fillId="2" borderId="0" xfId="0" applyFont="1" applyFill="1" applyBorder="1" applyAlignment="1">
      <alignment horizontal="left" vertical="top" wrapText="1"/>
    </xf>
    <xf numFmtId="9" fontId="2" fillId="0" borderId="0" xfId="0" applyNumberFormat="1" applyFont="1" applyBorder="1" applyAlignment="1">
      <alignment horizontal="center"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vertical="top" wrapText="1"/>
    </xf>
    <xf numFmtId="0" fontId="5" fillId="2" borderId="0" xfId="0" applyFont="1" applyFill="1" applyBorder="1" applyAlignment="1">
      <alignment horizontal="center" vertical="top" wrapText="1"/>
    </xf>
    <xf numFmtId="0" fontId="2" fillId="0" borderId="0" xfId="0" applyFont="1" applyFill="1" applyBorder="1" applyAlignment="1">
      <alignment horizontal="center" vertical="top" wrapText="1"/>
    </xf>
    <xf numFmtId="9" fontId="2" fillId="0" borderId="0" xfId="0" applyNumberFormat="1" applyFont="1" applyFill="1" applyBorder="1" applyAlignment="1">
      <alignment horizontal="center" vertical="top" wrapText="1"/>
    </xf>
    <xf numFmtId="0" fontId="2" fillId="2" borderId="0" xfId="0" applyFont="1" applyFill="1" applyBorder="1" applyAlignment="1">
      <alignment horizontal="left" vertical="top"/>
    </xf>
    <xf numFmtId="9" fontId="2" fillId="2" borderId="0" xfId="0" applyNumberFormat="1" applyFont="1" applyFill="1" applyBorder="1" applyAlignment="1">
      <alignment horizontal="center" vertical="top" wrapText="1"/>
    </xf>
    <xf numFmtId="0" fontId="3" fillId="0" borderId="0" xfId="0" applyFont="1" applyFill="1" applyBorder="1" applyAlignment="1">
      <alignment vertical="top" wrapText="1"/>
    </xf>
    <xf numFmtId="0" fontId="3" fillId="2" borderId="0" xfId="0" applyFont="1" applyFill="1" applyBorder="1" applyAlignment="1">
      <alignment vertical="top" wrapText="1"/>
    </xf>
    <xf numFmtId="0" fontId="2" fillId="2"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horizontal="left" vertical="top" wrapText="1"/>
    </xf>
    <xf numFmtId="4" fontId="5" fillId="0" borderId="0" xfId="0" applyNumberFormat="1" applyFont="1" applyBorder="1" applyAlignment="1">
      <alignment horizontal="left" vertical="top"/>
    </xf>
    <xf numFmtId="4" fontId="2" fillId="0" borderId="0" xfId="0" applyNumberFormat="1" applyFont="1" applyBorder="1" applyAlignment="1">
      <alignment horizontal="left" vertical="top"/>
    </xf>
    <xf numFmtId="0" fontId="3" fillId="0" borderId="0" xfId="0" applyFont="1" applyFill="1" applyBorder="1" applyAlignment="1">
      <alignment horizontal="center" vertical="top" wrapText="1"/>
    </xf>
    <xf numFmtId="0" fontId="3" fillId="0" borderId="0" xfId="0" applyFont="1" applyBorder="1" applyAlignment="1">
      <alignment vertical="top" wrapText="1"/>
    </xf>
    <xf numFmtId="4" fontId="2" fillId="0" borderId="0" xfId="0" applyNumberFormat="1" applyFont="1" applyBorder="1" applyAlignment="1">
      <alignment horizontal="center" vertical="top"/>
    </xf>
    <xf numFmtId="14" fontId="2" fillId="2" borderId="0" xfId="0" applyNumberFormat="1" applyFont="1" applyFill="1" applyBorder="1" applyAlignment="1">
      <alignment horizontal="left" vertical="top" wrapText="1"/>
    </xf>
    <xf numFmtId="14" fontId="2" fillId="0" borderId="0" xfId="0" applyNumberFormat="1" applyFont="1" applyBorder="1" applyAlignment="1">
      <alignment horizontal="left" vertical="top" wrapText="1"/>
    </xf>
    <xf numFmtId="0" fontId="2" fillId="7" borderId="0" xfId="0" applyFont="1" applyFill="1" applyBorder="1" applyAlignment="1">
      <alignment vertical="top" wrapText="1"/>
    </xf>
    <xf numFmtId="0" fontId="2" fillId="0" borderId="0" xfId="0" applyFont="1" applyFill="1" applyBorder="1" applyAlignment="1">
      <alignment horizontal="justify" vertical="top" wrapText="1"/>
    </xf>
    <xf numFmtId="0" fontId="3" fillId="2" borderId="0" xfId="0" applyFont="1" applyFill="1" applyBorder="1" applyAlignment="1">
      <alignment horizontal="center" vertical="top" wrapText="1"/>
    </xf>
    <xf numFmtId="17" fontId="3" fillId="2" borderId="0" xfId="0" applyNumberFormat="1" applyFont="1" applyFill="1" applyBorder="1" applyAlignment="1">
      <alignment horizontal="center" vertical="top" wrapText="1"/>
    </xf>
    <xf numFmtId="17" fontId="2" fillId="0" borderId="0" xfId="0" applyNumberFormat="1" applyFont="1" applyFill="1" applyBorder="1" applyAlignment="1">
      <alignment horizontal="center" vertical="top" wrapText="1"/>
    </xf>
    <xf numFmtId="17" fontId="2" fillId="0" borderId="0" xfId="0" applyNumberFormat="1" applyFont="1" applyBorder="1" applyAlignment="1">
      <alignment horizontal="center" vertical="top" wrapText="1"/>
    </xf>
    <xf numFmtId="9" fontId="3" fillId="2" borderId="0" xfId="0" applyNumberFormat="1" applyFont="1" applyFill="1" applyBorder="1" applyAlignment="1">
      <alignment horizontal="center" vertical="top" wrapText="1"/>
    </xf>
    <xf numFmtId="17" fontId="2" fillId="2" borderId="0" xfId="0" applyNumberFormat="1" applyFont="1" applyFill="1" applyBorder="1" applyAlignment="1">
      <alignment horizontal="center" vertical="top" wrapText="1"/>
    </xf>
    <xf numFmtId="0" fontId="3" fillId="2" borderId="0" xfId="0" applyFont="1" applyFill="1" applyBorder="1" applyAlignment="1">
      <alignment horizontal="center" vertical="top"/>
    </xf>
    <xf numFmtId="0" fontId="4" fillId="2" borderId="0" xfId="0" applyFont="1" applyFill="1" applyBorder="1" applyAlignment="1">
      <alignment horizontal="center" vertical="top"/>
    </xf>
    <xf numFmtId="0" fontId="2" fillId="5" borderId="0" xfId="0" applyFont="1" applyFill="1" applyBorder="1" applyAlignment="1">
      <alignment vertical="top" wrapText="1"/>
    </xf>
    <xf numFmtId="0" fontId="2" fillId="0" borderId="0" xfId="0" applyFont="1" applyBorder="1" applyAlignment="1">
      <alignment horizontal="center" vertical="top" wrapText="1"/>
    </xf>
    <xf numFmtId="0" fontId="1" fillId="0" borderId="0" xfId="0" applyFont="1" applyBorder="1" applyAlignment="1">
      <alignment horizontal="center"/>
    </xf>
    <xf numFmtId="0" fontId="2" fillId="2" borderId="8" xfId="0" applyFont="1" applyFill="1" applyBorder="1" applyAlignment="1">
      <alignment horizontal="left" vertical="top" wrapText="1"/>
    </xf>
    <xf numFmtId="17" fontId="2" fillId="0" borderId="1" xfId="0" applyNumberFormat="1" applyFont="1" applyFill="1" applyBorder="1" applyAlignment="1">
      <alignment horizontal="left" vertical="top" wrapText="1"/>
    </xf>
    <xf numFmtId="15"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top"/>
    </xf>
    <xf numFmtId="0" fontId="2" fillId="0" borderId="0" xfId="0" applyFont="1" applyFill="1" applyBorder="1" applyAlignment="1">
      <alignment vertical="top"/>
    </xf>
    <xf numFmtId="0" fontId="2" fillId="0" borderId="8" xfId="0" applyFont="1" applyFill="1" applyBorder="1" applyAlignment="1">
      <alignment horizontal="left" vertical="top" wrapText="1"/>
    </xf>
    <xf numFmtId="3" fontId="4" fillId="0" borderId="0" xfId="0" applyNumberFormat="1" applyFont="1" applyBorder="1"/>
    <xf numFmtId="0" fontId="5" fillId="3" borderId="1" xfId="0" applyFont="1" applyFill="1" applyBorder="1" applyAlignment="1">
      <alignment horizontal="center" vertical="top"/>
    </xf>
    <xf numFmtId="0" fontId="5" fillId="3" borderId="1" xfId="0" applyFont="1" applyFill="1" applyBorder="1" applyAlignment="1">
      <alignment horizontal="left" vertical="top"/>
    </xf>
    <xf numFmtId="0" fontId="5" fillId="3" borderId="1" xfId="0" applyFont="1" applyFill="1" applyBorder="1" applyAlignment="1">
      <alignment vertical="top"/>
    </xf>
    <xf numFmtId="4" fontId="5" fillId="3" borderId="1" xfId="0" applyNumberFormat="1" applyFont="1" applyFill="1" applyBorder="1" applyAlignment="1">
      <alignment horizontal="center" vertical="top"/>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2" fillId="3" borderId="0" xfId="0" applyFont="1" applyFill="1" applyAlignment="1">
      <alignment vertical="top"/>
    </xf>
    <xf numFmtId="3" fontId="5" fillId="0" borderId="0" xfId="0" applyNumberFormat="1" applyFont="1" applyAlignment="1">
      <alignment horizontal="center" vertical="top"/>
    </xf>
    <xf numFmtId="3" fontId="5" fillId="3" borderId="1" xfId="0" applyNumberFormat="1" applyFont="1" applyFill="1" applyBorder="1" applyAlignment="1">
      <alignment horizontal="center" vertical="top"/>
    </xf>
    <xf numFmtId="3" fontId="5" fillId="3" borderId="1" xfId="0" applyNumberFormat="1" applyFont="1" applyFill="1" applyBorder="1" applyAlignment="1">
      <alignment vertical="top" wrapText="1"/>
    </xf>
    <xf numFmtId="3" fontId="3" fillId="0" borderId="1" xfId="0" applyNumberFormat="1" applyFont="1" applyBorder="1" applyAlignment="1">
      <alignment vertical="top" wrapText="1"/>
    </xf>
    <xf numFmtId="3" fontId="3" fillId="2" borderId="1" xfId="0" applyNumberFormat="1" applyFont="1" applyFill="1" applyBorder="1" applyAlignment="1">
      <alignment vertical="top" wrapText="1"/>
    </xf>
    <xf numFmtId="3" fontId="6" fillId="3" borderId="1" xfId="0" applyNumberFormat="1" applyFont="1" applyFill="1" applyBorder="1" applyAlignment="1">
      <alignment vertical="top" wrapText="1"/>
    </xf>
    <xf numFmtId="3" fontId="2" fillId="0" borderId="1" xfId="0" applyNumberFormat="1" applyFont="1" applyFill="1" applyBorder="1" applyAlignment="1">
      <alignment vertical="top" wrapText="1"/>
    </xf>
    <xf numFmtId="3" fontId="2" fillId="0" borderId="0" xfId="0" applyNumberFormat="1" applyFont="1" applyFill="1" applyBorder="1" applyAlignment="1">
      <alignment vertical="top" wrapText="1"/>
    </xf>
    <xf numFmtId="3" fontId="5" fillId="0" borderId="1" xfId="0" applyNumberFormat="1" applyFont="1" applyFill="1" applyBorder="1" applyAlignment="1">
      <alignment vertical="top" wrapText="1"/>
    </xf>
    <xf numFmtId="3" fontId="2" fillId="0" borderId="0" xfId="0" applyNumberFormat="1" applyFont="1" applyAlignment="1">
      <alignment vertical="top"/>
    </xf>
    <xf numFmtId="3" fontId="5" fillId="3" borderId="0" xfId="0" applyNumberFormat="1" applyFont="1" applyFill="1" applyBorder="1" applyAlignment="1">
      <alignment vertical="top" wrapText="1"/>
    </xf>
    <xf numFmtId="3" fontId="5" fillId="0" borderId="0" xfId="0" applyNumberFormat="1" applyFont="1" applyFill="1" applyBorder="1" applyAlignment="1">
      <alignment vertical="top" wrapText="1"/>
    </xf>
    <xf numFmtId="3" fontId="5" fillId="0" borderId="0" xfId="0" applyNumberFormat="1" applyFont="1" applyBorder="1" applyAlignment="1">
      <alignment vertical="top" wrapText="1"/>
    </xf>
    <xf numFmtId="3" fontId="2" fillId="0" borderId="0" xfId="0" applyNumberFormat="1" applyFont="1" applyBorder="1" applyAlignment="1">
      <alignment vertical="top" wrapText="1"/>
    </xf>
    <xf numFmtId="3" fontId="2" fillId="2" borderId="0" xfId="0" applyNumberFormat="1" applyFont="1" applyFill="1" applyBorder="1" applyAlignment="1">
      <alignment vertical="top" wrapText="1"/>
    </xf>
    <xf numFmtId="3" fontId="5" fillId="4" borderId="0" xfId="0" applyNumberFormat="1" applyFont="1" applyFill="1" applyBorder="1" applyAlignment="1">
      <alignment vertical="top" wrapText="1"/>
    </xf>
    <xf numFmtId="3" fontId="2" fillId="0" borderId="0" xfId="0" applyNumberFormat="1" applyFont="1" applyBorder="1" applyAlignment="1">
      <alignment vertical="top"/>
    </xf>
    <xf numFmtId="3" fontId="2" fillId="0" borderId="1" xfId="0" applyNumberFormat="1" applyFont="1" applyFill="1" applyBorder="1" applyAlignment="1">
      <alignment horizontal="right" vertical="top" wrapText="1"/>
    </xf>
    <xf numFmtId="3" fontId="3" fillId="0" borderId="1" xfId="0" applyNumberFormat="1" applyFont="1" applyFill="1" applyBorder="1" applyAlignment="1">
      <alignment vertical="top" wrapText="1"/>
    </xf>
    <xf numFmtId="3" fontId="3" fillId="0" borderId="0" xfId="0" applyNumberFormat="1" applyFont="1" applyFill="1" applyBorder="1" applyAlignment="1">
      <alignment vertical="top" wrapText="1"/>
    </xf>
    <xf numFmtId="3" fontId="3" fillId="2" borderId="0" xfId="0" applyNumberFormat="1" applyFont="1" applyFill="1" applyBorder="1" applyAlignment="1">
      <alignment vertical="top" wrapText="1"/>
    </xf>
    <xf numFmtId="3" fontId="6" fillId="0" borderId="0" xfId="0" applyNumberFormat="1" applyFont="1" applyFill="1" applyBorder="1" applyAlignment="1">
      <alignment vertical="top" wrapText="1"/>
    </xf>
    <xf numFmtId="3" fontId="2" fillId="2" borderId="0" xfId="0" applyNumberFormat="1" applyFont="1" applyFill="1" applyBorder="1" applyAlignment="1">
      <alignment vertical="top"/>
    </xf>
    <xf numFmtId="3" fontId="2" fillId="0" borderId="0" xfId="0" applyNumberFormat="1" applyFont="1" applyFill="1" applyBorder="1" applyAlignment="1">
      <alignment vertical="top"/>
    </xf>
    <xf numFmtId="3" fontId="2" fillId="0" borderId="0" xfId="0" applyNumberFormat="1" applyFont="1" applyFill="1" applyAlignment="1">
      <alignment vertical="top"/>
    </xf>
    <xf numFmtId="0" fontId="8" fillId="0" borderId="0" xfId="0" applyFont="1" applyAlignment="1">
      <alignment horizontal="center"/>
    </xf>
    <xf numFmtId="10" fontId="2" fillId="0" borderId="1" xfId="0" applyNumberFormat="1" applyFont="1" applyBorder="1" applyAlignment="1">
      <alignment horizontal="center" vertical="top"/>
    </xf>
    <xf numFmtId="9" fontId="2" fillId="0" borderId="1" xfId="0" applyNumberFormat="1" applyFont="1" applyBorder="1" applyAlignment="1">
      <alignment horizontal="center" vertical="top"/>
    </xf>
    <xf numFmtId="9" fontId="2" fillId="2" borderId="1" xfId="0" applyNumberFormat="1" applyFont="1" applyFill="1" applyBorder="1" applyAlignment="1">
      <alignment horizontal="right" vertical="top" wrapText="1"/>
    </xf>
    <xf numFmtId="9" fontId="5" fillId="0" borderId="1"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xf>
    <xf numFmtId="0" fontId="8" fillId="0" borderId="0" xfId="0" applyFont="1" applyAlignment="1">
      <alignment horizontal="center"/>
    </xf>
    <xf numFmtId="0" fontId="5" fillId="0" borderId="0" xfId="0" applyFont="1" applyBorder="1" applyAlignment="1">
      <alignment horizontal="center" vertical="top" wrapText="1"/>
    </xf>
    <xf numFmtId="0" fontId="5" fillId="0" borderId="0" xfId="0" applyFont="1" applyAlignment="1">
      <alignment horizontal="center" vertical="top"/>
    </xf>
    <xf numFmtId="0" fontId="2" fillId="0" borderId="0" xfId="0" applyFont="1" applyBorder="1" applyAlignment="1">
      <alignment horizontal="center" vertical="top" wrapText="1"/>
    </xf>
    <xf numFmtId="0" fontId="9"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8" xfId="0" applyFont="1" applyFill="1" applyBorder="1" applyAlignment="1">
      <alignment horizontal="left" vertical="top" wrapText="1"/>
    </xf>
    <xf numFmtId="17" fontId="3" fillId="0" borderId="1" xfId="0" applyNumberFormat="1" applyFont="1" applyFill="1" applyBorder="1" applyAlignment="1">
      <alignment horizontal="center" vertical="top" wrapText="1"/>
    </xf>
    <xf numFmtId="3" fontId="9" fillId="5" borderId="1" xfId="0" applyNumberFormat="1" applyFont="1" applyFill="1" applyBorder="1" applyAlignment="1">
      <alignment vertical="top" wrapText="1"/>
    </xf>
    <xf numFmtId="4" fontId="5" fillId="0" borderId="0" xfId="0" applyNumberFormat="1" applyFont="1" applyFill="1" applyBorder="1" applyAlignment="1">
      <alignment vertical="top" wrapText="1"/>
    </xf>
    <xf numFmtId="0" fontId="9"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applyAlignment="1">
      <alignment vertical="top"/>
    </xf>
    <xf numFmtId="4" fontId="2" fillId="2" borderId="0" xfId="0" applyNumberFormat="1" applyFont="1" applyFill="1" applyBorder="1" applyAlignment="1">
      <alignment vertical="top" wrapText="1"/>
    </xf>
    <xf numFmtId="4" fontId="7" fillId="5" borderId="1" xfId="0" applyNumberFormat="1" applyFont="1" applyFill="1" applyBorder="1" applyAlignment="1">
      <alignment vertical="top" wrapText="1"/>
    </xf>
    <xf numFmtId="164" fontId="7" fillId="5" borderId="1" xfId="0" applyNumberFormat="1" applyFont="1" applyFill="1" applyBorder="1" applyAlignment="1">
      <alignment vertical="top" wrapText="1"/>
    </xf>
    <xf numFmtId="4" fontId="3" fillId="0" borderId="1" xfId="0" applyNumberFormat="1" applyFont="1" applyFill="1" applyBorder="1" applyAlignment="1">
      <alignment horizontal="right" vertical="top" wrapText="1"/>
    </xf>
    <xf numFmtId="0" fontId="4" fillId="0" borderId="0" xfId="0" applyFont="1" applyBorder="1"/>
    <xf numFmtId="0" fontId="1" fillId="0" borderId="0" xfId="0" applyFont="1" applyAlignment="1">
      <alignment vertical="top" wrapText="1"/>
    </xf>
    <xf numFmtId="0" fontId="8" fillId="0" borderId="0" xfId="0" applyFont="1" applyAlignment="1">
      <alignment horizontal="center"/>
    </xf>
    <xf numFmtId="0" fontId="11" fillId="4" borderId="5" xfId="0" applyFont="1" applyFill="1" applyBorder="1" applyAlignment="1">
      <alignment horizontal="center" vertical="top" wrapText="1"/>
    </xf>
    <xf numFmtId="0" fontId="11" fillId="4" borderId="0" xfId="0" applyFont="1" applyFill="1" applyBorder="1" applyAlignment="1">
      <alignment horizontal="center" vertical="top" wrapText="1"/>
    </xf>
    <xf numFmtId="0" fontId="12" fillId="0" borderId="5" xfId="0" applyFont="1" applyFill="1" applyBorder="1"/>
    <xf numFmtId="3" fontId="12" fillId="0" borderId="0" xfId="0" applyNumberFormat="1" applyFont="1" applyFill="1" applyBorder="1"/>
    <xf numFmtId="3" fontId="12" fillId="0" borderId="15" xfId="0" applyNumberFormat="1" applyFont="1" applyBorder="1"/>
    <xf numFmtId="3" fontId="12" fillId="0" borderId="0" xfId="0" applyNumberFormat="1" applyFont="1" applyBorder="1"/>
    <xf numFmtId="3" fontId="11" fillId="0" borderId="0" xfId="0" applyNumberFormat="1" applyFont="1" applyFill="1" applyBorder="1"/>
    <xf numFmtId="3" fontId="11" fillId="0" borderId="0" xfId="0" applyNumberFormat="1" applyFont="1" applyBorder="1"/>
    <xf numFmtId="0" fontId="11" fillId="0" borderId="4" xfId="0" applyFont="1" applyFill="1" applyBorder="1"/>
    <xf numFmtId="3" fontId="11" fillId="0" borderId="11" xfId="0" applyNumberFormat="1" applyFont="1" applyFill="1" applyBorder="1"/>
    <xf numFmtId="3" fontId="11" fillId="0" borderId="16" xfId="0" applyNumberFormat="1" applyFont="1" applyBorder="1"/>
    <xf numFmtId="3" fontId="11" fillId="0" borderId="11" xfId="0" applyNumberFormat="1" applyFont="1" applyBorder="1"/>
    <xf numFmtId="9" fontId="4" fillId="0" borderId="0" xfId="0" applyNumberFormat="1" applyFont="1"/>
    <xf numFmtId="0" fontId="8" fillId="0" borderId="3" xfId="0" applyFont="1" applyBorder="1" applyAlignment="1">
      <alignment horizontal="center" vertical="top"/>
    </xf>
    <xf numFmtId="0" fontId="11" fillId="4" borderId="15" xfId="0" applyFont="1" applyFill="1" applyBorder="1" applyAlignment="1">
      <alignment horizontal="center" vertical="top" wrapText="1"/>
    </xf>
    <xf numFmtId="0" fontId="11" fillId="0" borderId="0" xfId="0" applyFont="1" applyFill="1" applyBorder="1"/>
    <xf numFmtId="0" fontId="11" fillId="4" borderId="17" xfId="0" applyFont="1" applyFill="1" applyBorder="1" applyAlignment="1">
      <alignment horizontal="center" vertical="top" wrapText="1"/>
    </xf>
    <xf numFmtId="3" fontId="12" fillId="0" borderId="17" xfId="0" applyNumberFormat="1" applyFont="1" applyFill="1" applyBorder="1"/>
    <xf numFmtId="3" fontId="12" fillId="0" borderId="15" xfId="0" applyNumberFormat="1" applyFont="1" applyFill="1" applyBorder="1"/>
    <xf numFmtId="3" fontId="11" fillId="0" borderId="16" xfId="0" applyNumberFormat="1" applyFont="1" applyFill="1" applyBorder="1"/>
    <xf numFmtId="3" fontId="12" fillId="0" borderId="18" xfId="0" applyNumberFormat="1" applyFont="1" applyFill="1" applyBorder="1"/>
    <xf numFmtId="0" fontId="1" fillId="0" borderId="0" xfId="0" applyFont="1" applyAlignment="1">
      <alignment horizontal="center" vertical="top" wrapText="1"/>
    </xf>
    <xf numFmtId="43" fontId="2" fillId="0" borderId="1" xfId="1" applyFont="1" applyFill="1" applyBorder="1" applyAlignment="1">
      <alignment horizontal="right" vertical="top" wrapText="1"/>
    </xf>
    <xf numFmtId="43" fontId="5" fillId="3" borderId="1" xfId="1" applyFont="1" applyFill="1" applyBorder="1" applyAlignment="1">
      <alignment vertical="top" wrapText="1"/>
    </xf>
    <xf numFmtId="43" fontId="2" fillId="0" borderId="1" xfId="1" applyFont="1" applyBorder="1" applyAlignment="1">
      <alignment horizontal="left" vertical="top"/>
    </xf>
    <xf numFmtId="43" fontId="2" fillId="2" borderId="8" xfId="1" applyFont="1" applyFill="1" applyBorder="1" applyAlignment="1">
      <alignment horizontal="left" vertical="top" wrapText="1"/>
    </xf>
    <xf numFmtId="43" fontId="3" fillId="0" borderId="8" xfId="1" applyFont="1" applyFill="1" applyBorder="1" applyAlignment="1">
      <alignment horizontal="left" vertical="top" wrapText="1"/>
    </xf>
    <xf numFmtId="43" fontId="3" fillId="0" borderId="1" xfId="1" applyFont="1" applyFill="1" applyBorder="1" applyAlignment="1">
      <alignment horizontal="center" vertical="top" wrapText="1"/>
    </xf>
    <xf numFmtId="43" fontId="2" fillId="0" borderId="8" xfId="1" applyFont="1" applyFill="1" applyBorder="1" applyAlignment="1">
      <alignment horizontal="center" vertical="top" wrapText="1"/>
    </xf>
    <xf numFmtId="43" fontId="2" fillId="0" borderId="1" xfId="1" applyFont="1" applyFill="1" applyBorder="1" applyAlignment="1">
      <alignment horizontal="center" vertical="top" wrapText="1"/>
    </xf>
    <xf numFmtId="43" fontId="3" fillId="0" borderId="1" xfId="1" applyFont="1" applyBorder="1" applyAlignment="1">
      <alignment vertical="top" wrapText="1"/>
    </xf>
    <xf numFmtId="43" fontId="2" fillId="2" borderId="1" xfId="1" applyFont="1" applyFill="1" applyBorder="1" applyAlignment="1">
      <alignment horizontal="left" vertical="top" wrapText="1"/>
    </xf>
    <xf numFmtId="43" fontId="2" fillId="0" borderId="1" xfId="1" applyFont="1" applyFill="1" applyBorder="1" applyAlignment="1">
      <alignment horizontal="left" vertical="top"/>
    </xf>
    <xf numFmtId="43" fontId="2" fillId="0" borderId="8" xfId="1" applyFont="1" applyFill="1" applyBorder="1" applyAlignment="1">
      <alignment horizontal="left" vertical="top" wrapText="1"/>
    </xf>
    <xf numFmtId="43" fontId="3" fillId="0" borderId="1" xfId="1" applyFont="1" applyFill="1" applyBorder="1" applyAlignment="1">
      <alignment vertical="top" wrapText="1"/>
    </xf>
    <xf numFmtId="43" fontId="2" fillId="0" borderId="1" xfId="1" applyFont="1" applyFill="1" applyBorder="1" applyAlignment="1">
      <alignment horizontal="left" vertical="top" wrapText="1"/>
    </xf>
    <xf numFmtId="43" fontId="5" fillId="0" borderId="1" xfId="1" applyFont="1" applyBorder="1" applyAlignment="1">
      <alignment vertical="top" wrapText="1"/>
    </xf>
    <xf numFmtId="43" fontId="5" fillId="0" borderId="1" xfId="1" applyFont="1" applyBorder="1" applyAlignment="1">
      <alignment horizontal="left" vertical="top" wrapText="1"/>
    </xf>
    <xf numFmtId="43" fontId="5" fillId="0" borderId="1" xfId="1" applyFont="1" applyBorder="1" applyAlignment="1">
      <alignment horizontal="center" vertical="top" wrapText="1"/>
    </xf>
    <xf numFmtId="43" fontId="6" fillId="3" borderId="1" xfId="1" applyFont="1" applyFill="1" applyBorder="1" applyAlignment="1">
      <alignment vertical="top" wrapText="1"/>
    </xf>
    <xf numFmtId="43" fontId="2" fillId="0" borderId="1" xfId="1" applyFont="1" applyBorder="1" applyAlignment="1">
      <alignment horizontal="left" vertical="top" wrapText="1"/>
    </xf>
    <xf numFmtId="17" fontId="3" fillId="0" borderId="8" xfId="0" applyNumberFormat="1" applyFont="1" applyFill="1" applyBorder="1" applyAlignment="1">
      <alignment vertical="top" wrapText="1"/>
    </xf>
    <xf numFmtId="16" fontId="3" fillId="0" borderId="1" xfId="0" applyNumberFormat="1" applyFont="1" applyFill="1" applyBorder="1" applyAlignment="1">
      <alignment vertical="top" wrapText="1"/>
    </xf>
    <xf numFmtId="0" fontId="5" fillId="0" borderId="8" xfId="0" applyFont="1" applyFill="1" applyBorder="1" applyAlignment="1">
      <alignment vertical="top" wrapText="1"/>
    </xf>
    <xf numFmtId="15" fontId="2" fillId="0" borderId="1" xfId="0" applyNumberFormat="1" applyFont="1" applyBorder="1" applyAlignment="1">
      <alignment vertical="top" wrapText="1"/>
    </xf>
    <xf numFmtId="17" fontId="3" fillId="0" borderId="1" xfId="0" applyNumberFormat="1" applyFont="1" applyFill="1" applyBorder="1" applyAlignment="1">
      <alignment vertical="top" wrapText="1"/>
    </xf>
    <xf numFmtId="0" fontId="9" fillId="0" borderId="1" xfId="0" applyFont="1" applyBorder="1" applyAlignment="1">
      <alignment vertical="top" wrapText="1"/>
    </xf>
    <xf numFmtId="43" fontId="3" fillId="0" borderId="8" xfId="1" applyFont="1" applyFill="1" applyBorder="1" applyAlignment="1">
      <alignment horizontal="left" vertical="top"/>
    </xf>
    <xf numFmtId="49" fontId="2" fillId="0" borderId="8" xfId="1" applyNumberFormat="1" applyFont="1" applyFill="1" applyBorder="1" applyAlignment="1">
      <alignment horizontal="left" vertical="top" wrapText="1"/>
    </xf>
    <xf numFmtId="43" fontId="2" fillId="2" borderId="1" xfId="1" applyFont="1" applyFill="1" applyBorder="1" applyAlignment="1">
      <alignment vertical="top" wrapText="1"/>
    </xf>
    <xf numFmtId="43" fontId="2" fillId="0" borderId="1" xfId="1" applyFont="1" applyFill="1" applyBorder="1" applyAlignment="1">
      <alignment vertical="top" wrapText="1"/>
    </xf>
    <xf numFmtId="43" fontId="5" fillId="0" borderId="1" xfId="1" applyFont="1" applyFill="1" applyBorder="1" applyAlignment="1">
      <alignment vertical="top" wrapText="1"/>
    </xf>
    <xf numFmtId="43" fontId="5" fillId="0" borderId="1" xfId="1" applyFont="1" applyFill="1" applyBorder="1" applyAlignment="1">
      <alignment vertical="top"/>
    </xf>
    <xf numFmtId="43" fontId="5" fillId="0" borderId="1" xfId="1" applyFont="1" applyBorder="1" applyAlignment="1">
      <alignment vertical="top"/>
    </xf>
    <xf numFmtId="4" fontId="5" fillId="2" borderId="1" xfId="0" applyNumberFormat="1" applyFont="1" applyFill="1" applyBorder="1" applyAlignment="1">
      <alignment vertical="top" wrapText="1"/>
    </xf>
    <xf numFmtId="9" fontId="2" fillId="0" borderId="1" xfId="0" applyNumberFormat="1" applyFont="1" applyFill="1" applyBorder="1" applyAlignment="1">
      <alignment horizontal="right" vertical="top" wrapText="1"/>
    </xf>
    <xf numFmtId="4" fontId="5" fillId="0" borderId="1" xfId="0" applyNumberFormat="1" applyFont="1" applyFill="1" applyBorder="1" applyAlignment="1">
      <alignment vertical="top"/>
    </xf>
    <xf numFmtId="4" fontId="3" fillId="0" borderId="1" xfId="0" applyNumberFormat="1"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vertical="top" wrapText="1"/>
    </xf>
    <xf numFmtId="17" fontId="2" fillId="0" borderId="1" xfId="0" applyNumberFormat="1" applyFont="1" applyFill="1" applyBorder="1" applyAlignment="1">
      <alignment horizontal="left" vertical="top" wrapText="1"/>
    </xf>
    <xf numFmtId="15"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top"/>
    </xf>
    <xf numFmtId="9" fontId="2" fillId="0" borderId="1" xfId="0" applyNumberFormat="1" applyFont="1" applyFill="1" applyBorder="1" applyAlignment="1">
      <alignment horizontal="center" vertical="top"/>
    </xf>
    <xf numFmtId="49" fontId="2" fillId="0" borderId="1" xfId="1" applyNumberFormat="1" applyFont="1" applyFill="1" applyBorder="1" applyAlignment="1">
      <alignment horizontal="left" vertical="top"/>
    </xf>
    <xf numFmtId="0" fontId="2" fillId="0" borderId="1" xfId="0" applyFont="1" applyFill="1" applyBorder="1" applyAlignment="1">
      <alignment horizontal="left" vertical="top" wrapText="1"/>
    </xf>
    <xf numFmtId="0" fontId="3" fillId="0" borderId="1" xfId="0" applyFont="1" applyFill="1" applyBorder="1" applyAlignment="1">
      <alignment vertical="top" wrapText="1"/>
    </xf>
    <xf numFmtId="0" fontId="2"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4" fontId="5" fillId="0" borderId="1" xfId="0" applyNumberFormat="1" applyFont="1" applyFill="1" applyBorder="1" applyAlignment="1">
      <alignment vertical="top" wrapText="1"/>
    </xf>
    <xf numFmtId="17" fontId="3" fillId="0" borderId="1" xfId="0" applyNumberFormat="1" applyFont="1" applyFill="1" applyBorder="1" applyAlignment="1">
      <alignment horizontal="left"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7" fontId="3" fillId="0" borderId="8" xfId="0" applyNumberFormat="1" applyFont="1" applyFill="1" applyBorder="1" applyAlignment="1">
      <alignment horizontal="left" vertical="top" wrapText="1"/>
    </xf>
    <xf numFmtId="17" fontId="2" fillId="0" borderId="1" xfId="0" applyNumberFormat="1" applyFont="1" applyFill="1" applyBorder="1" applyAlignment="1">
      <alignment horizontal="left" vertical="top" wrapText="1"/>
    </xf>
    <xf numFmtId="43" fontId="2" fillId="0" borderId="1" xfId="1" applyFont="1" applyFill="1" applyBorder="1" applyAlignment="1">
      <alignment horizontal="right"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7" fontId="3" fillId="0" borderId="1" xfId="0" applyNumberFormat="1" applyFont="1" applyFill="1" applyBorder="1" applyAlignment="1">
      <alignment horizontal="left"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7" fontId="3" fillId="0" borderId="1" xfId="0" applyNumberFormat="1" applyFont="1" applyFill="1" applyBorder="1" applyAlignment="1">
      <alignment horizontal="left" vertical="top" wrapText="1"/>
    </xf>
    <xf numFmtId="43" fontId="2" fillId="0" borderId="1" xfId="1" applyFont="1" applyFill="1" applyBorder="1" applyAlignment="1">
      <alignment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 fontId="2" fillId="0" borderId="1" xfId="0" applyNumberFormat="1"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9" fontId="2" fillId="0" borderId="1" xfId="0" applyNumberFormat="1" applyFont="1" applyFill="1" applyBorder="1" applyAlignment="1">
      <alignment vertical="top" wrapText="1"/>
    </xf>
    <xf numFmtId="0" fontId="2" fillId="0" borderId="7" xfId="0" applyFont="1" applyFill="1" applyBorder="1" applyAlignment="1">
      <alignment horizontal="left" vertical="top"/>
    </xf>
    <xf numFmtId="0" fontId="2" fillId="0" borderId="6" xfId="0" applyFont="1" applyFill="1" applyBorder="1" applyAlignment="1">
      <alignment horizontal="left" vertical="top" wrapText="1"/>
    </xf>
    <xf numFmtId="17" fontId="2" fillId="0" borderId="8" xfId="0" applyNumberFormat="1" applyFont="1" applyFill="1" applyBorder="1" applyAlignment="1">
      <alignment horizontal="left"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left" vertical="top"/>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17" fontId="3" fillId="0" borderId="8" xfId="0" applyNumberFormat="1" applyFont="1" applyFill="1" applyBorder="1" applyAlignment="1">
      <alignment horizontal="left" vertical="top" wrapText="1"/>
    </xf>
    <xf numFmtId="0" fontId="2" fillId="0" borderId="8" xfId="0" applyFont="1" applyFill="1" applyBorder="1" applyAlignment="1">
      <alignment horizontal="left" vertical="top" wrapText="1"/>
    </xf>
    <xf numFmtId="17" fontId="3" fillId="0" borderId="8" xfId="0" applyNumberFormat="1" applyFont="1" applyFill="1" applyBorder="1" applyAlignment="1">
      <alignment vertical="top" wrapText="1"/>
    </xf>
    <xf numFmtId="49" fontId="3" fillId="0" borderId="8" xfId="1" applyNumberFormat="1" applyFont="1" applyFill="1" applyBorder="1" applyAlignment="1">
      <alignment horizontal="left" vertical="top" wrapText="1"/>
    </xf>
    <xf numFmtId="9" fontId="2" fillId="0" borderId="1" xfId="0" applyNumberFormat="1" applyFont="1" applyFill="1" applyBorder="1" applyAlignment="1">
      <alignment horizontal="center" vertical="top" wrapText="1"/>
    </xf>
    <xf numFmtId="43" fontId="3" fillId="0" borderId="8" xfId="1" applyFont="1" applyFill="1" applyBorder="1" applyAlignment="1">
      <alignment horizontal="left" vertical="top" wrapText="1"/>
    </xf>
    <xf numFmtId="43" fontId="3" fillId="0" borderId="1" xfId="1" applyFont="1" applyFill="1" applyBorder="1" applyAlignment="1">
      <alignment horizontal="center" vertical="top" wrapText="1"/>
    </xf>
    <xf numFmtId="43" fontId="2" fillId="0" borderId="1" xfId="1" applyFont="1" applyFill="1" applyBorder="1" applyAlignment="1">
      <alignment horizontal="left" vertical="top"/>
    </xf>
    <xf numFmtId="43" fontId="2" fillId="0" borderId="8" xfId="1" applyFont="1" applyFill="1" applyBorder="1" applyAlignment="1">
      <alignment horizontal="left" vertical="top" wrapText="1"/>
    </xf>
    <xf numFmtId="43" fontId="3" fillId="0" borderId="1" xfId="1" applyFont="1" applyFill="1" applyBorder="1" applyAlignment="1">
      <alignment vertical="top" wrapText="1"/>
    </xf>
    <xf numFmtId="43" fontId="2" fillId="0" borderId="1" xfId="1" applyFont="1" applyFill="1" applyBorder="1" applyAlignment="1">
      <alignment horizontal="left" vertical="top" wrapText="1"/>
    </xf>
    <xf numFmtId="43" fontId="3" fillId="0" borderId="8" xfId="1" applyFont="1" applyFill="1" applyBorder="1" applyAlignment="1">
      <alignment horizontal="left" vertical="top"/>
    </xf>
    <xf numFmtId="49" fontId="2" fillId="0" borderId="8" xfId="1" applyNumberFormat="1" applyFont="1" applyFill="1" applyBorder="1" applyAlignment="1">
      <alignment horizontal="left" vertical="top" wrapText="1"/>
    </xf>
    <xf numFmtId="49" fontId="3" fillId="0" borderId="8" xfId="1" applyNumberFormat="1" applyFont="1" applyFill="1" applyBorder="1" applyAlignment="1">
      <alignment horizontal="left" vertical="top"/>
    </xf>
    <xf numFmtId="49" fontId="3" fillId="0" borderId="1" xfId="1" applyNumberFormat="1" applyFont="1" applyFill="1" applyBorder="1" applyAlignment="1">
      <alignment horizontal="center" vertical="top" wrapText="1"/>
    </xf>
    <xf numFmtId="49" fontId="2" fillId="0" borderId="1" xfId="1" applyNumberFormat="1" applyFont="1" applyFill="1" applyBorder="1" applyAlignment="1">
      <alignment horizontal="left"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 fontId="2" fillId="0" borderId="1" xfId="0" applyNumberFormat="1"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9" fontId="2" fillId="0" borderId="1" xfId="0" applyNumberFormat="1" applyFont="1" applyFill="1" applyBorder="1" applyAlignment="1">
      <alignment vertical="top" wrapText="1"/>
    </xf>
    <xf numFmtId="0" fontId="2" fillId="0" borderId="7" xfId="0" applyFont="1" applyFill="1" applyBorder="1" applyAlignment="1">
      <alignment horizontal="left" vertical="top"/>
    </xf>
    <xf numFmtId="0" fontId="2" fillId="0" borderId="6" xfId="0" applyFont="1" applyFill="1" applyBorder="1" applyAlignment="1">
      <alignment horizontal="left" vertical="top" wrapText="1"/>
    </xf>
    <xf numFmtId="17" fontId="2" fillId="0" borderId="8"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0" xfId="0" applyFont="1" applyFill="1" applyAlignment="1">
      <alignment vertical="top" wrapText="1"/>
    </xf>
    <xf numFmtId="4" fontId="5" fillId="0" borderId="1" xfId="0" applyNumberFormat="1" applyFont="1" applyFill="1" applyBorder="1" applyAlignment="1">
      <alignment vertical="top" wrapText="1"/>
    </xf>
    <xf numFmtId="17" fontId="3" fillId="0" borderId="1" xfId="0" applyNumberFormat="1" applyFont="1" applyFill="1" applyBorder="1" applyAlignment="1">
      <alignment horizontal="left" vertical="top" wrapText="1"/>
    </xf>
    <xf numFmtId="9" fontId="2" fillId="0" borderId="1" xfId="0" applyNumberFormat="1" applyFont="1" applyFill="1" applyBorder="1" applyAlignment="1">
      <alignment horizontal="right" vertical="top" wrapText="1"/>
    </xf>
    <xf numFmtId="0" fontId="2" fillId="0" borderId="0" xfId="0" applyFont="1" applyFill="1" applyAlignment="1">
      <alignment vertical="top"/>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 fontId="2" fillId="2" borderId="1" xfId="0" applyNumberFormat="1" applyFont="1" applyFill="1" applyBorder="1" applyAlignment="1">
      <alignmen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xf>
    <xf numFmtId="4" fontId="2" fillId="0" borderId="1" xfId="0" applyNumberFormat="1" applyFont="1" applyFill="1" applyBorder="1" applyAlignment="1">
      <alignment vertical="top" wrapText="1"/>
    </xf>
    <xf numFmtId="17" fontId="3" fillId="0" borderId="1" xfId="0" applyNumberFormat="1" applyFont="1" applyFill="1" applyBorder="1" applyAlignment="1">
      <alignment horizontal="left" vertical="top" wrapText="1"/>
    </xf>
    <xf numFmtId="3" fontId="3" fillId="0" borderId="1" xfId="0" applyNumberFormat="1" applyFont="1" applyFill="1" applyBorder="1" applyAlignment="1">
      <alignment vertical="top" wrapText="1"/>
    </xf>
    <xf numFmtId="17" fontId="3" fillId="0" borderId="1" xfId="0" applyNumberFormat="1" applyFont="1" applyFill="1" applyBorder="1" applyAlignment="1">
      <alignment vertical="top" wrapText="1"/>
    </xf>
    <xf numFmtId="43" fontId="5" fillId="0" borderId="0" xfId="1" applyFont="1" applyAlignment="1">
      <alignment horizontal="center" vertical="top"/>
    </xf>
    <xf numFmtId="43" fontId="5" fillId="3" borderId="1" xfId="1" applyFont="1" applyFill="1" applyBorder="1" applyAlignment="1">
      <alignment horizontal="center" vertical="top"/>
    </xf>
    <xf numFmtId="43" fontId="2" fillId="2" borderId="1" xfId="1" applyFont="1" applyFill="1" applyBorder="1" applyAlignment="1">
      <alignment horizontal="right" vertical="top" wrapText="1"/>
    </xf>
    <xf numFmtId="43" fontId="2" fillId="2" borderId="0" xfId="1" applyFont="1" applyFill="1" applyBorder="1" applyAlignment="1">
      <alignment vertical="top" wrapText="1"/>
    </xf>
    <xf numFmtId="43" fontId="7" fillId="5" borderId="1" xfId="1" applyFont="1" applyFill="1" applyBorder="1" applyAlignment="1">
      <alignment vertical="top" wrapText="1"/>
    </xf>
    <xf numFmtId="43" fontId="2" fillId="0" borderId="0" xfId="1" applyFont="1" applyAlignment="1">
      <alignment vertical="top"/>
    </xf>
    <xf numFmtId="0" fontId="2" fillId="0" borderId="0" xfId="0" applyFont="1" applyFill="1" applyAlignment="1">
      <alignment horizontal="left" vertical="top"/>
    </xf>
    <xf numFmtId="9" fontId="2" fillId="0" borderId="1" xfId="0" applyNumberFormat="1" applyFont="1" applyFill="1" applyBorder="1" applyAlignment="1">
      <alignment vertical="top"/>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vertical="top"/>
    </xf>
    <xf numFmtId="4" fontId="3" fillId="0" borderId="1" xfId="0" applyNumberFormat="1" applyFont="1" applyFill="1" applyBorder="1" applyAlignment="1">
      <alignment vertical="top" wrapText="1"/>
    </xf>
    <xf numFmtId="9" fontId="2" fillId="0" borderId="1" xfId="0" applyNumberFormat="1" applyFont="1" applyFill="1" applyBorder="1" applyAlignment="1">
      <alignment horizontal="center" vertical="top" wrapText="1"/>
    </xf>
    <xf numFmtId="0" fontId="2" fillId="0" borderId="0" xfId="0" applyFont="1" applyFill="1" applyBorder="1" applyAlignment="1">
      <alignment vertical="top"/>
    </xf>
    <xf numFmtId="43" fontId="3" fillId="0" borderId="8" xfId="1" applyFont="1" applyFill="1" applyBorder="1" applyAlignment="1">
      <alignment horizontal="left" vertical="top" wrapText="1"/>
    </xf>
    <xf numFmtId="43" fontId="3" fillId="0" borderId="1" xfId="1" applyFont="1" applyFill="1" applyBorder="1" applyAlignment="1">
      <alignment horizontal="center" vertical="top" wrapText="1"/>
    </xf>
    <xf numFmtId="43" fontId="2" fillId="0" borderId="1" xfId="1" applyFont="1" applyFill="1" applyBorder="1" applyAlignment="1">
      <alignment horizontal="left" vertical="top"/>
    </xf>
    <xf numFmtId="43" fontId="2" fillId="0" borderId="8" xfId="1" applyFont="1" applyFill="1" applyBorder="1" applyAlignment="1">
      <alignment horizontal="left" vertical="top" wrapText="1"/>
    </xf>
    <xf numFmtId="43" fontId="3" fillId="0" borderId="1" xfId="1" applyFont="1" applyFill="1" applyBorder="1" applyAlignment="1">
      <alignment vertical="top" wrapText="1"/>
    </xf>
    <xf numFmtId="43" fontId="2" fillId="0" borderId="1" xfId="1" applyFont="1" applyFill="1" applyBorder="1" applyAlignment="1">
      <alignment horizontal="left" vertical="top" wrapText="1"/>
    </xf>
    <xf numFmtId="43" fontId="3" fillId="0" borderId="8" xfId="1" applyFont="1" applyFill="1" applyBorder="1" applyAlignment="1">
      <alignment horizontal="left" vertical="top"/>
    </xf>
    <xf numFmtId="0" fontId="2" fillId="0" borderId="8"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0" xfId="0" applyFont="1" applyFill="1" applyAlignment="1">
      <alignment vertical="top" wrapText="1"/>
    </xf>
    <xf numFmtId="4" fontId="5" fillId="0" borderId="1" xfId="0" applyNumberFormat="1" applyFont="1" applyFill="1" applyBorder="1" applyAlignment="1">
      <alignment vertical="top" wrapText="1"/>
    </xf>
    <xf numFmtId="17" fontId="3" fillId="0" borderId="1" xfId="0" applyNumberFormat="1" applyFont="1" applyFill="1" applyBorder="1" applyAlignment="1">
      <alignment horizontal="left" vertical="top" wrapText="1"/>
    </xf>
    <xf numFmtId="9" fontId="2" fillId="0" borderId="1" xfId="0" applyNumberFormat="1" applyFont="1" applyFill="1" applyBorder="1" applyAlignment="1">
      <alignment horizontal="right" vertical="top" wrapText="1"/>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vertical="top"/>
    </xf>
    <xf numFmtId="4" fontId="3" fillId="0" borderId="1" xfId="0" applyNumberFormat="1" applyFont="1" applyFill="1" applyBorder="1" applyAlignment="1">
      <alignment vertical="top" wrapText="1"/>
    </xf>
    <xf numFmtId="9" fontId="2" fillId="0" borderId="1" xfId="0" applyNumberFormat="1" applyFont="1" applyFill="1" applyBorder="1" applyAlignment="1">
      <alignment horizontal="center" vertical="top" wrapText="1"/>
    </xf>
    <xf numFmtId="0" fontId="2" fillId="0" borderId="0" xfId="0" applyFont="1" applyFill="1" applyBorder="1" applyAlignment="1">
      <alignment vertical="top"/>
    </xf>
    <xf numFmtId="43" fontId="3" fillId="0" borderId="8" xfId="1" applyFont="1" applyFill="1" applyBorder="1" applyAlignment="1">
      <alignment horizontal="left" vertical="top" wrapText="1"/>
    </xf>
    <xf numFmtId="43" fontId="3" fillId="0" borderId="1" xfId="1" applyFont="1" applyFill="1" applyBorder="1" applyAlignment="1">
      <alignment horizontal="center" vertical="top" wrapText="1"/>
    </xf>
    <xf numFmtId="43" fontId="2" fillId="0" borderId="1" xfId="1" applyFont="1" applyFill="1" applyBorder="1" applyAlignment="1">
      <alignment horizontal="left" vertical="top"/>
    </xf>
    <xf numFmtId="43" fontId="2" fillId="0" borderId="8" xfId="1" applyFont="1" applyFill="1" applyBorder="1" applyAlignment="1">
      <alignment horizontal="left" vertical="top" wrapText="1"/>
    </xf>
    <xf numFmtId="43" fontId="3" fillId="0" borderId="1" xfId="1" applyFont="1" applyFill="1" applyBorder="1" applyAlignment="1">
      <alignment vertical="top" wrapText="1"/>
    </xf>
    <xf numFmtId="43" fontId="2" fillId="0" borderId="1" xfId="1" applyFont="1" applyFill="1" applyBorder="1" applyAlignment="1">
      <alignment horizontal="left" vertical="top" wrapText="1"/>
    </xf>
    <xf numFmtId="43" fontId="3" fillId="0" borderId="8" xfId="1" applyFont="1" applyFill="1" applyBorder="1" applyAlignment="1">
      <alignment horizontal="left" vertical="top"/>
    </xf>
    <xf numFmtId="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 fontId="2" fillId="0" borderId="1" xfId="0" applyNumberFormat="1"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9" fontId="2" fillId="0" borderId="1"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7" xfId="0" applyFont="1" applyFill="1" applyBorder="1" applyAlignment="1">
      <alignment horizontal="left" vertical="top"/>
    </xf>
    <xf numFmtId="0" fontId="2" fillId="0" borderId="6" xfId="0" applyFont="1" applyFill="1" applyBorder="1" applyAlignment="1">
      <alignment horizontal="left" vertical="top" wrapText="1"/>
    </xf>
    <xf numFmtId="17" fontId="2" fillId="0" borderId="8" xfId="0" applyNumberFormat="1" applyFont="1" applyFill="1" applyBorder="1" applyAlignment="1">
      <alignment horizontal="left" vertical="top" wrapText="1"/>
    </xf>
    <xf numFmtId="0" fontId="2" fillId="0" borderId="19" xfId="0" applyFont="1" applyFill="1" applyBorder="1" applyAlignment="1">
      <alignment horizontal="left" vertical="top"/>
    </xf>
    <xf numFmtId="0" fontId="2" fillId="2" borderId="0" xfId="0" applyFont="1" applyFill="1" applyBorder="1" applyAlignment="1">
      <alignment vertical="top"/>
    </xf>
    <xf numFmtId="43" fontId="2" fillId="2" borderId="1" xfId="1" applyFont="1" applyFill="1" applyBorder="1" applyAlignment="1">
      <alignment horizontal="left" vertical="top"/>
    </xf>
    <xf numFmtId="43" fontId="3" fillId="2" borderId="8" xfId="1" applyFont="1" applyFill="1" applyBorder="1" applyAlignment="1">
      <alignment horizontal="left" vertical="top" wrapText="1"/>
    </xf>
    <xf numFmtId="43" fontId="3" fillId="2" borderId="8" xfId="1" applyFont="1" applyFill="1" applyBorder="1" applyAlignment="1">
      <alignment horizontal="left" vertical="top"/>
    </xf>
    <xf numFmtId="43" fontId="3" fillId="2" borderId="1" xfId="1" applyFont="1" applyFill="1" applyBorder="1" applyAlignment="1">
      <alignment horizontal="center" vertical="top" wrapText="1"/>
    </xf>
    <xf numFmtId="43" fontId="3" fillId="2" borderId="1" xfId="1" applyFont="1" applyFill="1" applyBorder="1" applyAlignment="1">
      <alignment vertical="top" wrapText="1"/>
    </xf>
    <xf numFmtId="14" fontId="2" fillId="2" borderId="1" xfId="0" applyNumberFormat="1" applyFont="1" applyFill="1" applyBorder="1" applyAlignment="1">
      <alignment horizontal="left" vertical="top"/>
    </xf>
    <xf numFmtId="0" fontId="2" fillId="2" borderId="1" xfId="0" applyFont="1" applyFill="1" applyBorder="1" applyAlignment="1">
      <alignment horizontal="center" vertical="top"/>
    </xf>
    <xf numFmtId="9" fontId="2" fillId="2" borderId="1" xfId="0" applyNumberFormat="1" applyFont="1" applyFill="1" applyBorder="1" applyAlignment="1">
      <alignment horizontal="center" vertical="top"/>
    </xf>
    <xf numFmtId="4" fontId="5" fillId="2" borderId="1" xfId="0" applyNumberFormat="1" applyFont="1" applyFill="1" applyBorder="1" applyAlignment="1">
      <alignment vertical="top"/>
    </xf>
    <xf numFmtId="17" fontId="2" fillId="2" borderId="1" xfId="0" applyNumberFormat="1" applyFont="1" applyFill="1" applyBorder="1" applyAlignment="1">
      <alignment horizontal="left" vertical="top" wrapText="1"/>
    </xf>
    <xf numFmtId="9" fontId="2" fillId="2" borderId="1" xfId="0" applyNumberFormat="1" applyFont="1" applyFill="1" applyBorder="1" applyAlignment="1">
      <alignment vertical="top"/>
    </xf>
    <xf numFmtId="43" fontId="5" fillId="2" borderId="1" xfId="1" applyFont="1" applyFill="1" applyBorder="1" applyAlignment="1">
      <alignment vertical="top"/>
    </xf>
    <xf numFmtId="14" fontId="2" fillId="2" borderId="1" xfId="0" applyNumberFormat="1" applyFont="1" applyFill="1" applyBorder="1" applyAlignment="1">
      <alignment vertical="top" wrapText="1"/>
    </xf>
    <xf numFmtId="9" fontId="5" fillId="2" borderId="1" xfId="0" applyNumberFormat="1" applyFont="1" applyFill="1" applyBorder="1" applyAlignment="1">
      <alignment horizontal="center" vertical="top" wrapText="1"/>
    </xf>
    <xf numFmtId="3" fontId="2" fillId="2" borderId="1" xfId="0" applyNumberFormat="1" applyFont="1" applyFill="1" applyBorder="1" applyAlignment="1">
      <alignment vertical="top" wrapText="1"/>
    </xf>
    <xf numFmtId="14" fontId="2" fillId="0" borderId="8" xfId="0" applyNumberFormat="1" applyFont="1" applyFill="1" applyBorder="1" applyAlignment="1">
      <alignment horizontal="left" vertical="top" wrapText="1"/>
    </xf>
    <xf numFmtId="0" fontId="2" fillId="6" borderId="0" xfId="0" applyFont="1" applyFill="1" applyBorder="1" applyAlignment="1">
      <alignment vertical="top" wrapText="1"/>
    </xf>
    <xf numFmtId="14" fontId="2" fillId="0" borderId="1" xfId="0" applyNumberFormat="1" applyFont="1" applyFill="1" applyBorder="1" applyAlignment="1">
      <alignment horizontal="left" vertical="top"/>
    </xf>
    <xf numFmtId="0" fontId="12" fillId="0" borderId="2" xfId="0" applyFont="1" applyFill="1" applyBorder="1"/>
    <xf numFmtId="3" fontId="12" fillId="0" borderId="10" xfId="0" applyNumberFormat="1" applyFont="1" applyFill="1" applyBorder="1"/>
    <xf numFmtId="3" fontId="12" fillId="0" borderId="20" xfId="0" applyNumberFormat="1" applyFont="1" applyBorder="1"/>
    <xf numFmtId="3" fontId="12" fillId="0" borderId="10" xfId="0" applyNumberFormat="1" applyFont="1" applyBorder="1"/>
    <xf numFmtId="3" fontId="12" fillId="0" borderId="20" xfId="0" applyNumberFormat="1" applyFont="1" applyFill="1" applyBorder="1"/>
    <xf numFmtId="3" fontId="12" fillId="0" borderId="3" xfId="0" applyNumberFormat="1" applyFont="1" applyFill="1" applyBorder="1"/>
    <xf numFmtId="0" fontId="1" fillId="0" borderId="0"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vertical="top"/>
    </xf>
    <xf numFmtId="0" fontId="8" fillId="0" borderId="10" xfId="0" applyFont="1" applyBorder="1" applyAlignment="1">
      <alignment horizontal="center" vertical="top"/>
    </xf>
    <xf numFmtId="0" fontId="5" fillId="0" borderId="0" xfId="0" applyFont="1" applyAlignment="1">
      <alignment horizontal="center" vertical="top"/>
    </xf>
    <xf numFmtId="0" fontId="7" fillId="0" borderId="0" xfId="0" applyFont="1" applyBorder="1" applyAlignment="1">
      <alignment horizontal="center" vertical="top"/>
    </xf>
    <xf numFmtId="0" fontId="5" fillId="0" borderId="0" xfId="0" applyFont="1" applyBorder="1" applyAlignment="1">
      <alignment horizontal="center" vertical="top"/>
    </xf>
    <xf numFmtId="0" fontId="2" fillId="0" borderId="12" xfId="0" applyFont="1" applyBorder="1" applyAlignment="1">
      <alignment horizontal="center" vertical="top"/>
    </xf>
    <xf numFmtId="4" fontId="5" fillId="0" borderId="0" xfId="0" applyNumberFormat="1" applyFont="1" applyAlignment="1">
      <alignment horizontal="right" vertical="top"/>
    </xf>
    <xf numFmtId="0" fontId="5" fillId="0" borderId="0" xfId="0" applyFont="1" applyAlignment="1">
      <alignment horizontal="right" vertical="top"/>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12" xfId="0" applyFont="1" applyBorder="1" applyAlignment="1">
      <alignment horizontal="center" vertical="top" wrapText="1"/>
    </xf>
    <xf numFmtId="0" fontId="5" fillId="0" borderId="9" xfId="0" applyFont="1" applyBorder="1" applyAlignment="1">
      <alignment horizontal="center" vertical="top" wrapText="1"/>
    </xf>
    <xf numFmtId="4" fontId="6" fillId="0" borderId="9" xfId="0" applyNumberFormat="1" applyFont="1" applyBorder="1" applyAlignment="1">
      <alignment horizontal="center" vertical="top" wrapText="1"/>
    </xf>
    <xf numFmtId="0" fontId="5" fillId="0" borderId="9" xfId="0" applyFont="1" applyBorder="1" applyAlignment="1">
      <alignment wrapText="1"/>
    </xf>
    <xf numFmtId="43" fontId="6" fillId="0" borderId="0" xfId="1" applyFont="1" applyBorder="1" applyAlignment="1">
      <alignment horizontal="center" vertical="top" wrapText="1"/>
    </xf>
    <xf numFmtId="0" fontId="2" fillId="0" borderId="9" xfId="0" applyFont="1" applyBorder="1" applyAlignment="1">
      <alignment horizontal="center" vertical="top"/>
    </xf>
    <xf numFmtId="0" fontId="2" fillId="0" borderId="0" xfId="0" applyFont="1" applyFill="1" applyBorder="1" applyAlignment="1">
      <alignment horizontal="center" vertical="top" wrapText="1"/>
    </xf>
    <xf numFmtId="0" fontId="2" fillId="2" borderId="0" xfId="0" applyFont="1" applyFill="1" applyBorder="1" applyAlignment="1">
      <alignment horizontal="center" vertical="top" wrapText="1"/>
    </xf>
    <xf numFmtId="14" fontId="2"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0" fillId="0" borderId="0" xfId="0" applyFill="1" applyBorder="1" applyAlignment="1">
      <alignment horizontal="center" vertical="top" wrapText="1"/>
    </xf>
    <xf numFmtId="14" fontId="2" fillId="0" borderId="0" xfId="0" applyNumberFormat="1" applyFont="1" applyBorder="1" applyAlignment="1">
      <alignment horizontal="center" vertical="top" wrapText="1"/>
    </xf>
    <xf numFmtId="0" fontId="3" fillId="2" borderId="0" xfId="0" applyFont="1" applyFill="1" applyBorder="1" applyAlignment="1">
      <alignment horizontal="center" vertical="top"/>
    </xf>
    <xf numFmtId="14" fontId="2" fillId="2" borderId="0" xfId="0" applyNumberFormat="1" applyFont="1" applyFill="1" applyBorder="1" applyAlignment="1">
      <alignment horizontal="center" vertical="top" wrapText="1"/>
    </xf>
    <xf numFmtId="0" fontId="4" fillId="2" borderId="0" xfId="0" applyFont="1" applyFill="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Border="1" applyAlignment="1">
      <alignment horizontal="left" vertical="top"/>
    </xf>
    <xf numFmtId="0" fontId="4" fillId="2" borderId="0" xfId="0" applyFont="1" applyFill="1" applyBorder="1" applyAlignment="1">
      <alignment horizontal="center" vertical="top"/>
    </xf>
    <xf numFmtId="0" fontId="3" fillId="0" borderId="0" xfId="0" applyFont="1" applyFill="1" applyBorder="1" applyAlignment="1">
      <alignment horizontal="center" vertical="top"/>
    </xf>
    <xf numFmtId="0" fontId="4" fillId="0" borderId="0" xfId="0" applyFont="1" applyFill="1" applyBorder="1" applyAlignment="1">
      <alignment horizontal="center" vertical="top"/>
    </xf>
    <xf numFmtId="9" fontId="2" fillId="0" borderId="13" xfId="0" applyNumberFormat="1" applyFont="1" applyFill="1" applyBorder="1" applyAlignment="1">
      <alignment horizontal="center" vertical="top" wrapText="1"/>
    </xf>
    <xf numFmtId="9" fontId="2" fillId="0" borderId="7" xfId="0" applyNumberFormat="1" applyFont="1" applyFill="1" applyBorder="1" applyAlignment="1">
      <alignment horizontal="center" vertical="top" wrapText="1"/>
    </xf>
    <xf numFmtId="0" fontId="6" fillId="0" borderId="9" xfId="0" applyFont="1" applyBorder="1" applyAlignment="1">
      <alignment horizontal="center" vertical="top" wrapText="1"/>
    </xf>
    <xf numFmtId="0" fontId="6" fillId="0" borderId="14" xfId="0"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GB" sz="2000"/>
              <a:t>Expenditure</a:t>
            </a:r>
            <a:r>
              <a:rPr lang="en-GB" sz="2000" baseline="0"/>
              <a:t> per Programme from  01 April  2015- 30 November2015</a:t>
            </a:r>
            <a:endParaRPr lang="en-GB" sz="2000"/>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7.7533782503991122E-2"/>
          <c:y val="4.2811613159302861E-2"/>
          <c:w val="0.70510517628595393"/>
          <c:h val="0.90387724973350292"/>
        </c:manualLayout>
      </c:layout>
      <c:bar3DChart>
        <c:barDir val="col"/>
        <c:grouping val="clustered"/>
        <c:varyColors val="0"/>
        <c:ser>
          <c:idx val="1"/>
          <c:order val="0"/>
          <c:tx>
            <c:strRef>
              <c:f>Summary!$C$7</c:f>
              <c:strCache>
                <c:ptCount val="1"/>
                <c:pt idx="0">
                  <c:v>Business &amp; Advisory</c:v>
                </c:pt>
              </c:strCache>
            </c:strRef>
          </c:tx>
          <c:invertIfNegative val="0"/>
          <c:cat>
            <c:strRef>
              <c:f>Summary!$A$9:$A$16</c:f>
              <c:strCache>
                <c:ptCount val="7"/>
                <c:pt idx="0">
                  <c:v>Prog1:Admin</c:v>
                </c:pt>
                <c:pt idx="1">
                  <c:v>Prog2:LACE</c:v>
                </c:pt>
                <c:pt idx="2">
                  <c:v>Prog3:OC</c:v>
                </c:pt>
                <c:pt idx="3">
                  <c:v>Prog4:CC</c:v>
                </c:pt>
                <c:pt idx="4">
                  <c:v>Prog5:B &amp; C</c:v>
                </c:pt>
                <c:pt idx="5">
                  <c:v>Prog6:EP</c:v>
                </c:pt>
                <c:pt idx="6">
                  <c:v>Prog7:CWM</c:v>
                </c:pt>
              </c:strCache>
              <c:extLst/>
            </c:strRef>
          </c:cat>
          <c:val>
            <c:numRef>
              <c:f>Summary!$C$9:$C$16</c:f>
              <c:numCache>
                <c:formatCode>#,##0</c:formatCode>
                <c:ptCount val="8"/>
                <c:pt idx="0">
                  <c:v>45834389.259999998</c:v>
                </c:pt>
                <c:pt idx="1">
                  <c:v>312703.32</c:v>
                </c:pt>
                <c:pt idx="2">
                  <c:v>7436017.1100000003</c:v>
                </c:pt>
                <c:pt idx="3">
                  <c:v>11054511.030000001</c:v>
                </c:pt>
                <c:pt idx="4">
                  <c:v>6130142.3799999999</c:v>
                </c:pt>
                <c:pt idx="5">
                  <c:v>15627813.450000001</c:v>
                </c:pt>
                <c:pt idx="6">
                  <c:v>5456947.6300000008</c:v>
                </c:pt>
              </c:numCache>
              <c:extLst/>
            </c:numRef>
          </c:val>
        </c:ser>
        <c:ser>
          <c:idx val="3"/>
          <c:order val="1"/>
          <c:tx>
            <c:strRef>
              <c:f>Summary!$D$7</c:f>
              <c:strCache>
                <c:ptCount val="1"/>
                <c:pt idx="0">
                  <c:v>Legal Services</c:v>
                </c:pt>
              </c:strCache>
            </c:strRef>
          </c:tx>
          <c:invertIfNegative val="0"/>
          <c:cat>
            <c:strRef>
              <c:f>Summary!$A$9:$A$16</c:f>
              <c:strCache>
                <c:ptCount val="7"/>
                <c:pt idx="0">
                  <c:v>Prog1:Admin</c:v>
                </c:pt>
                <c:pt idx="1">
                  <c:v>Prog2:LACE</c:v>
                </c:pt>
                <c:pt idx="2">
                  <c:v>Prog3:OC</c:v>
                </c:pt>
                <c:pt idx="3">
                  <c:v>Prog4:CC</c:v>
                </c:pt>
                <c:pt idx="4">
                  <c:v>Prog5:B &amp; C</c:v>
                </c:pt>
                <c:pt idx="5">
                  <c:v>Prog6:EP</c:v>
                </c:pt>
                <c:pt idx="6">
                  <c:v>Prog7:CWM</c:v>
                </c:pt>
              </c:strCache>
              <c:extLst/>
            </c:strRef>
          </c:cat>
          <c:val>
            <c:numRef>
              <c:f>Summary!$D$9:$D$16</c:f>
              <c:numCache>
                <c:formatCode>#,##0</c:formatCode>
                <c:ptCount val="8"/>
                <c:pt idx="0">
                  <c:v>242389.46000000002</c:v>
                </c:pt>
                <c:pt idx="1">
                  <c:v>1893024.84</c:v>
                </c:pt>
                <c:pt idx="2">
                  <c:v>313208.28999999998</c:v>
                </c:pt>
                <c:pt idx="3">
                  <c:v>860462.5</c:v>
                </c:pt>
                <c:pt idx="4">
                  <c:v>72222.25</c:v>
                </c:pt>
                <c:pt idx="5">
                  <c:v>367120.41</c:v>
                </c:pt>
                <c:pt idx="6">
                  <c:v>253251.90000000002</c:v>
                </c:pt>
              </c:numCache>
              <c:extLst/>
            </c:numRef>
          </c:val>
        </c:ser>
        <c:ser>
          <c:idx val="4"/>
          <c:order val="2"/>
          <c:tx>
            <c:strRef>
              <c:f>Summary!$E$7</c:f>
              <c:strCache>
                <c:ptCount val="1"/>
                <c:pt idx="0">
                  <c:v>Laboratory Services</c:v>
                </c:pt>
              </c:strCache>
            </c:strRef>
          </c:tx>
          <c:invertIfNegative val="0"/>
          <c:cat>
            <c:strRef>
              <c:f>Summary!$A$9:$A$16</c:f>
              <c:strCache>
                <c:ptCount val="7"/>
                <c:pt idx="0">
                  <c:v>Prog1:Admin</c:v>
                </c:pt>
                <c:pt idx="1">
                  <c:v>Prog2:LACE</c:v>
                </c:pt>
                <c:pt idx="2">
                  <c:v>Prog3:OC</c:v>
                </c:pt>
                <c:pt idx="3">
                  <c:v>Prog4:CC</c:v>
                </c:pt>
                <c:pt idx="4">
                  <c:v>Prog5:B &amp; C</c:v>
                </c:pt>
                <c:pt idx="5">
                  <c:v>Prog6:EP</c:v>
                </c:pt>
                <c:pt idx="6">
                  <c:v>Prog7:CWM</c:v>
                </c:pt>
              </c:strCache>
              <c:extLst/>
            </c:strRef>
          </c:cat>
          <c:val>
            <c:numRef>
              <c:f>Summary!$E$9:$E$16</c:f>
              <c:numCache>
                <c:formatCode>#,##0</c:formatCode>
                <c:ptCount val="8"/>
                <c:pt idx="0">
                  <c:v>0</c:v>
                </c:pt>
                <c:pt idx="1">
                  <c:v>67999.86</c:v>
                </c:pt>
                <c:pt idx="2">
                  <c:v>0</c:v>
                </c:pt>
                <c:pt idx="3">
                  <c:v>0</c:v>
                </c:pt>
                <c:pt idx="4">
                  <c:v>0</c:v>
                </c:pt>
                <c:pt idx="5">
                  <c:v>0</c:v>
                </c:pt>
                <c:pt idx="6">
                  <c:v>0</c:v>
                </c:pt>
              </c:numCache>
              <c:extLst/>
            </c:numRef>
          </c:val>
        </c:ser>
        <c:ser>
          <c:idx val="5"/>
          <c:order val="3"/>
          <c:tx>
            <c:strRef>
              <c:f>Summary!$F$7</c:f>
              <c:strCache>
                <c:ptCount val="1"/>
                <c:pt idx="0">
                  <c:v>Agency&amp;Outsourced Services</c:v>
                </c:pt>
              </c:strCache>
            </c:strRef>
          </c:tx>
          <c:invertIfNegative val="0"/>
          <c:cat>
            <c:strRef>
              <c:f>Summary!$A$9:$A$16</c:f>
              <c:strCache>
                <c:ptCount val="7"/>
                <c:pt idx="0">
                  <c:v>Prog1:Admin</c:v>
                </c:pt>
                <c:pt idx="1">
                  <c:v>Prog2:LACE</c:v>
                </c:pt>
                <c:pt idx="2">
                  <c:v>Prog3:OC</c:v>
                </c:pt>
                <c:pt idx="3">
                  <c:v>Prog4:CC</c:v>
                </c:pt>
                <c:pt idx="4">
                  <c:v>Prog5:B &amp; C</c:v>
                </c:pt>
                <c:pt idx="5">
                  <c:v>Prog6:EP</c:v>
                </c:pt>
                <c:pt idx="6">
                  <c:v>Prog7:CWM</c:v>
                </c:pt>
              </c:strCache>
              <c:extLst/>
            </c:strRef>
          </c:cat>
          <c:val>
            <c:numRef>
              <c:f>Summary!$F$9:$F$16</c:f>
              <c:numCache>
                <c:formatCode>#,##0</c:formatCode>
                <c:ptCount val="8"/>
                <c:pt idx="0">
                  <c:v>72514.960000000006</c:v>
                </c:pt>
                <c:pt idx="1">
                  <c:v>0</c:v>
                </c:pt>
                <c:pt idx="2">
                  <c:v>129640301.42</c:v>
                </c:pt>
                <c:pt idx="3">
                  <c:v>0</c:v>
                </c:pt>
                <c:pt idx="4">
                  <c:v>0</c:v>
                </c:pt>
                <c:pt idx="5">
                  <c:v>2631589.04</c:v>
                </c:pt>
                <c:pt idx="6">
                  <c:v>0</c:v>
                </c:pt>
              </c:numCache>
              <c:extLst/>
            </c:numRef>
          </c:val>
        </c:ser>
        <c:ser>
          <c:idx val="6"/>
          <c:order val="4"/>
          <c:tx>
            <c:strRef>
              <c:f>Summary!$G$7</c:f>
              <c:strCache>
                <c:ptCount val="1"/>
                <c:pt idx="0">
                  <c:v>Contractors</c:v>
                </c:pt>
              </c:strCache>
            </c:strRef>
          </c:tx>
          <c:invertIfNegative val="0"/>
          <c:cat>
            <c:strRef>
              <c:f>Summary!$A$9:$A$16</c:f>
              <c:strCache>
                <c:ptCount val="7"/>
                <c:pt idx="0">
                  <c:v>Prog1:Admin</c:v>
                </c:pt>
                <c:pt idx="1">
                  <c:v>Prog2:LACE</c:v>
                </c:pt>
                <c:pt idx="2">
                  <c:v>Prog3:OC</c:v>
                </c:pt>
                <c:pt idx="3">
                  <c:v>Prog4:CC</c:v>
                </c:pt>
                <c:pt idx="4">
                  <c:v>Prog5:B &amp; C</c:v>
                </c:pt>
                <c:pt idx="5">
                  <c:v>Prog6:EP</c:v>
                </c:pt>
                <c:pt idx="6">
                  <c:v>Prog7:CWM</c:v>
                </c:pt>
              </c:strCache>
              <c:extLst/>
            </c:strRef>
          </c:cat>
          <c:val>
            <c:numRef>
              <c:f>Summary!$G$9:$G$16</c:f>
              <c:numCache>
                <c:formatCode>#,##0</c:formatCode>
                <c:ptCount val="8"/>
                <c:pt idx="0">
                  <c:v>1932214.0399999998</c:v>
                </c:pt>
                <c:pt idx="1">
                  <c:v>462735.27</c:v>
                </c:pt>
                <c:pt idx="2">
                  <c:v>5676742.9100000001</c:v>
                </c:pt>
                <c:pt idx="3">
                  <c:v>30164</c:v>
                </c:pt>
                <c:pt idx="4">
                  <c:v>337740.5</c:v>
                </c:pt>
                <c:pt idx="5">
                  <c:v>51476063.240000002</c:v>
                </c:pt>
                <c:pt idx="6">
                  <c:v>32810.35</c:v>
                </c:pt>
              </c:numCache>
              <c:extLst/>
            </c:numRef>
          </c:val>
        </c:ser>
        <c:dLbls>
          <c:showLegendKey val="0"/>
          <c:showVal val="0"/>
          <c:showCatName val="0"/>
          <c:showSerName val="0"/>
          <c:showPercent val="0"/>
          <c:showBubbleSize val="0"/>
        </c:dLbls>
        <c:gapWidth val="150"/>
        <c:shape val="box"/>
        <c:axId val="191503936"/>
        <c:axId val="191253064"/>
        <c:axId val="0"/>
        <c:extLst>
          <c:ext xmlns:c15="http://schemas.microsoft.com/office/drawing/2012/chart" uri="{02D57815-91ED-43cb-92C2-25804820EDAC}">
            <c15:filteredBarSeries>
              <c15:ser>
                <c:idx val="7"/>
                <c:order val="5"/>
                <c:tx>
                  <c:strRef>
                    <c:extLst>
                      <c:ext uri="{02D57815-91ED-43cb-92C2-25804820EDAC}">
                        <c15:formulaRef>
                          <c15:sqref>Summary!$H$7</c15:sqref>
                        </c15:formulaRef>
                      </c:ext>
                    </c:extLst>
                    <c:strCache>
                      <c:ptCount val="1"/>
                      <c:pt idx="0">
                        <c:v>Total Expenditure</c:v>
                      </c:pt>
                    </c:strCache>
                  </c:strRef>
                </c:tx>
                <c:invertIfNegative val="0"/>
                <c:cat>
                  <c:strRef>
                    <c:extLst>
                      <c:ext uri="{02D57815-91ED-43cb-92C2-25804820EDAC}">
                        <c15:formulaRef>
                          <c15:sqref>Summary!$A$9:$A$16</c15:sqref>
                        </c15:formulaRef>
                      </c:ext>
                    </c:extLst>
                    <c:strCache>
                      <c:ptCount val="7"/>
                      <c:pt idx="0">
                        <c:v>Prog1:Admin</c:v>
                      </c:pt>
                      <c:pt idx="1">
                        <c:v>Prog2:LACE</c:v>
                      </c:pt>
                      <c:pt idx="2">
                        <c:v>Prog3:OC</c:v>
                      </c:pt>
                      <c:pt idx="3">
                        <c:v>Prog4:CC</c:v>
                      </c:pt>
                      <c:pt idx="4">
                        <c:v>Prog5:B &amp; C</c:v>
                      </c:pt>
                      <c:pt idx="5">
                        <c:v>Prog6:EP</c:v>
                      </c:pt>
                      <c:pt idx="6">
                        <c:v>Prog7:CWM</c:v>
                      </c:pt>
                    </c:strCache>
                  </c:strRef>
                </c:cat>
                <c:val>
                  <c:numRef>
                    <c:extLst>
                      <c:ext uri="{02D57815-91ED-43cb-92C2-25804820EDAC}">
                        <c15:formulaRef>
                          <c15:sqref>Summary!$H$9:$H$16</c15:sqref>
                        </c15:formulaRef>
                      </c:ext>
                    </c:extLst>
                    <c:numCache>
                      <c:formatCode>#,##0</c:formatCode>
                      <c:ptCount val="8"/>
                      <c:pt idx="0">
                        <c:v>48081507.719999999</c:v>
                      </c:pt>
                      <c:pt idx="1">
                        <c:v>2736463.29</c:v>
                      </c:pt>
                      <c:pt idx="2">
                        <c:v>143066269.72999999</c:v>
                      </c:pt>
                      <c:pt idx="3">
                        <c:v>11945137.530000001</c:v>
                      </c:pt>
                      <c:pt idx="4">
                        <c:v>6540105.1299999999</c:v>
                      </c:pt>
                      <c:pt idx="5">
                        <c:v>70102586.140000001</c:v>
                      </c:pt>
                      <c:pt idx="6">
                        <c:v>5743009.8800000008</c:v>
                      </c:pt>
                    </c:numCache>
                  </c:numRef>
                </c:val>
              </c15:ser>
            </c15:filteredBarSeries>
          </c:ext>
        </c:extLst>
      </c:bar3DChart>
      <c:catAx>
        <c:axId val="191503936"/>
        <c:scaling>
          <c:orientation val="minMax"/>
        </c:scaling>
        <c:delete val="0"/>
        <c:axPos val="b"/>
        <c:numFmt formatCode="General" sourceLinked="0"/>
        <c:majorTickMark val="out"/>
        <c:minorTickMark val="none"/>
        <c:tickLblPos val="nextTo"/>
        <c:txPr>
          <a:bodyPr/>
          <a:lstStyle/>
          <a:p>
            <a:pPr>
              <a:defRPr sz="2000" b="1"/>
            </a:pPr>
            <a:endParaRPr lang="en-US"/>
          </a:p>
        </c:txPr>
        <c:crossAx val="191253064"/>
        <c:crosses val="autoZero"/>
        <c:auto val="1"/>
        <c:lblAlgn val="ctr"/>
        <c:lblOffset val="100"/>
        <c:noMultiLvlLbl val="0"/>
      </c:catAx>
      <c:valAx>
        <c:axId val="191253064"/>
        <c:scaling>
          <c:orientation val="minMax"/>
        </c:scaling>
        <c:delete val="0"/>
        <c:axPos val="l"/>
        <c:majorGridlines/>
        <c:numFmt formatCode="#,##0" sourceLinked="1"/>
        <c:majorTickMark val="out"/>
        <c:minorTickMark val="none"/>
        <c:tickLblPos val="nextTo"/>
        <c:txPr>
          <a:bodyPr/>
          <a:lstStyle/>
          <a:p>
            <a:pPr>
              <a:defRPr sz="2000"/>
            </a:pPr>
            <a:endParaRPr lang="en-US"/>
          </a:p>
        </c:txPr>
        <c:crossAx val="191503936"/>
        <c:crosses val="autoZero"/>
        <c:crossBetween val="between"/>
      </c:valAx>
    </c:plotArea>
    <c:legend>
      <c:legendPos val="r"/>
      <c:layout>
        <c:manualLayout>
          <c:xMode val="edge"/>
          <c:yMode val="edge"/>
          <c:x val="0.85831964219433987"/>
          <c:y val="0.30268026040029639"/>
          <c:w val="0.13838817659346428"/>
          <c:h val="0.33940357986618125"/>
        </c:manualLayout>
      </c:layout>
      <c:overlay val="0"/>
      <c:txPr>
        <a:bodyPr/>
        <a:lstStyle/>
        <a:p>
          <a:pPr>
            <a:defRPr sz="2000" b="1"/>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paperSize="8"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BUDGET V/S EXPENDITURE </a:t>
            </a:r>
          </a:p>
        </c:rich>
      </c:tx>
      <c:layout>
        <c:manualLayout>
          <c:xMode val="edge"/>
          <c:yMode val="edge"/>
          <c:x val="0.47506471076136186"/>
          <c:y val="1.5428294934088987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Summary!$B$7:$B$8</c:f>
              <c:strCache>
                <c:ptCount val="2"/>
                <c:pt idx="0">
                  <c:v>Budget</c:v>
                </c:pt>
                <c:pt idx="1">
                  <c:v>R'000</c:v>
                </c:pt>
              </c:strCache>
            </c:strRef>
          </c:tx>
          <c:spPr>
            <a:solidFill>
              <a:schemeClr val="accent1"/>
            </a:solidFill>
            <a:ln>
              <a:noFill/>
            </a:ln>
            <a:effectLst/>
            <a:sp3d/>
          </c:spPr>
          <c:invertIfNegative val="0"/>
          <c:cat>
            <c:strRef>
              <c:extLst>
                <c:ext xmlns:c15="http://schemas.microsoft.com/office/drawing/2012/chart" uri="{02D57815-91ED-43cb-92C2-25804820EDAC}">
                  <c15:fullRef>
                    <c15:sqref>Summary!$A$9:$A$17</c15:sqref>
                  </c15:fullRef>
                </c:ext>
              </c:extLst>
              <c:f>Summary!$A$9:$A$16</c:f>
              <c:strCache>
                <c:ptCount val="8"/>
                <c:pt idx="0">
                  <c:v>Prog1:Admin</c:v>
                </c:pt>
                <c:pt idx="1">
                  <c:v>Prog2:LACE</c:v>
                </c:pt>
                <c:pt idx="2">
                  <c:v>Prog3:OC</c:v>
                </c:pt>
                <c:pt idx="3">
                  <c:v>Prog4:CC</c:v>
                </c:pt>
                <c:pt idx="4">
                  <c:v>Prog5:B &amp; C</c:v>
                </c:pt>
                <c:pt idx="5">
                  <c:v>Prog6:EP</c:v>
                </c:pt>
                <c:pt idx="6">
                  <c:v>Prog7:CWM</c:v>
                </c:pt>
              </c:strCache>
            </c:strRef>
          </c:cat>
          <c:val>
            <c:numRef>
              <c:extLst>
                <c:ext xmlns:c15="http://schemas.microsoft.com/office/drawing/2012/chart" uri="{02D57815-91ED-43cb-92C2-25804820EDAC}">
                  <c15:fullRef>
                    <c15:sqref>Summary!$B$9:$B$17</c15:sqref>
                  </c15:fullRef>
                </c:ext>
              </c:extLst>
              <c:f>Summary!$B$9:$B$16</c:f>
              <c:numCache>
                <c:formatCode>#,##0</c:formatCode>
                <c:ptCount val="8"/>
                <c:pt idx="0">
                  <c:v>66560000</c:v>
                </c:pt>
                <c:pt idx="1">
                  <c:v>3500000</c:v>
                </c:pt>
                <c:pt idx="2">
                  <c:v>166000000</c:v>
                </c:pt>
                <c:pt idx="3">
                  <c:v>13800000</c:v>
                </c:pt>
                <c:pt idx="4">
                  <c:v>8600000</c:v>
                </c:pt>
                <c:pt idx="5">
                  <c:v>90500000</c:v>
                </c:pt>
                <c:pt idx="6">
                  <c:v>7500000</c:v>
                </c:pt>
              </c:numCache>
            </c:numRef>
          </c:val>
        </c:ser>
        <c:ser>
          <c:idx val="1"/>
          <c:order val="1"/>
          <c:tx>
            <c:strRef>
              <c:f>Summary!$H$7:$H$8</c:f>
              <c:strCache>
                <c:ptCount val="2"/>
                <c:pt idx="0">
                  <c:v>Total Expenditure</c:v>
                </c:pt>
                <c:pt idx="1">
                  <c:v>R'000</c:v>
                </c:pt>
              </c:strCache>
            </c:strRef>
          </c:tx>
          <c:spPr>
            <a:solidFill>
              <a:schemeClr val="accent2"/>
            </a:solidFill>
            <a:ln>
              <a:noFill/>
            </a:ln>
            <a:effectLst/>
            <a:sp3d/>
          </c:spPr>
          <c:invertIfNegative val="0"/>
          <c:cat>
            <c:strRef>
              <c:extLst>
                <c:ext xmlns:c15="http://schemas.microsoft.com/office/drawing/2012/chart" uri="{02D57815-91ED-43cb-92C2-25804820EDAC}">
                  <c15:fullRef>
                    <c15:sqref>Summary!$A$9:$A$17</c15:sqref>
                  </c15:fullRef>
                </c:ext>
              </c:extLst>
              <c:f>Summary!$A$9:$A$16</c:f>
              <c:strCache>
                <c:ptCount val="8"/>
                <c:pt idx="0">
                  <c:v>Prog1:Admin</c:v>
                </c:pt>
                <c:pt idx="1">
                  <c:v>Prog2:LACE</c:v>
                </c:pt>
                <c:pt idx="2">
                  <c:v>Prog3:OC</c:v>
                </c:pt>
                <c:pt idx="3">
                  <c:v>Prog4:CC</c:v>
                </c:pt>
                <c:pt idx="4">
                  <c:v>Prog5:B &amp; C</c:v>
                </c:pt>
                <c:pt idx="5">
                  <c:v>Prog6:EP</c:v>
                </c:pt>
                <c:pt idx="6">
                  <c:v>Prog7:CWM</c:v>
                </c:pt>
              </c:strCache>
            </c:strRef>
          </c:cat>
          <c:val>
            <c:numRef>
              <c:extLst>
                <c:ext xmlns:c15="http://schemas.microsoft.com/office/drawing/2012/chart" uri="{02D57815-91ED-43cb-92C2-25804820EDAC}">
                  <c15:fullRef>
                    <c15:sqref>Summary!$H$9:$H$17</c15:sqref>
                  </c15:fullRef>
                </c:ext>
              </c:extLst>
              <c:f>Summary!$H$9:$H$16</c:f>
              <c:numCache>
                <c:formatCode>#,##0</c:formatCode>
                <c:ptCount val="8"/>
                <c:pt idx="0">
                  <c:v>48081507.719999999</c:v>
                </c:pt>
                <c:pt idx="1">
                  <c:v>2736463.29</c:v>
                </c:pt>
                <c:pt idx="2">
                  <c:v>143066269.72999999</c:v>
                </c:pt>
                <c:pt idx="3">
                  <c:v>11945137.530000001</c:v>
                </c:pt>
                <c:pt idx="4">
                  <c:v>6540105.1299999999</c:v>
                </c:pt>
                <c:pt idx="5">
                  <c:v>70102586.140000001</c:v>
                </c:pt>
                <c:pt idx="6">
                  <c:v>5743009.8800000008</c:v>
                </c:pt>
              </c:numCache>
            </c:numRef>
          </c:val>
        </c:ser>
        <c:dLbls>
          <c:showLegendKey val="0"/>
          <c:showVal val="0"/>
          <c:showCatName val="0"/>
          <c:showSerName val="0"/>
          <c:showPercent val="0"/>
          <c:showBubbleSize val="0"/>
        </c:dLbls>
        <c:gapWidth val="150"/>
        <c:shape val="box"/>
        <c:axId val="191393008"/>
        <c:axId val="191393392"/>
        <c:axId val="0"/>
      </c:bar3DChart>
      <c:catAx>
        <c:axId val="1913930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crossAx val="191393392"/>
        <c:crosses val="autoZero"/>
        <c:auto val="1"/>
        <c:lblAlgn val="ctr"/>
        <c:lblOffset val="100"/>
        <c:noMultiLvlLbl val="0"/>
      </c:catAx>
      <c:valAx>
        <c:axId val="191393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191393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128014</xdr:colOff>
      <xdr:row>55</xdr:row>
      <xdr:rowOff>233665</xdr:rowOff>
    </xdr:from>
    <xdr:to>
      <xdr:col>21</xdr:col>
      <xdr:colOff>445851</xdr:colOff>
      <xdr:row>105</xdr:row>
      <xdr:rowOff>202658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162128</xdr:rowOff>
    </xdr:from>
    <xdr:to>
      <xdr:col>21</xdr:col>
      <xdr:colOff>445850</xdr:colOff>
      <xdr:row>52</xdr:row>
      <xdr:rowOff>3650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340178</xdr:colOff>
      <xdr:row>1</xdr:row>
      <xdr:rowOff>0</xdr:rowOff>
    </xdr:from>
    <xdr:to>
      <xdr:col>1</xdr:col>
      <xdr:colOff>1367517</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340178" y="190500"/>
          <a:ext cx="3694339" cy="1183821"/>
        </a:xfrm>
        <a:prstGeom prst="rect">
          <a:avLst/>
        </a:prstGeom>
        <a:noFill/>
        <a:ln w="9525">
          <a:noFill/>
          <a:round/>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432954</xdr:colOff>
      <xdr:row>1</xdr:row>
      <xdr:rowOff>17319</xdr:rowOff>
    </xdr:from>
    <xdr:to>
      <xdr:col>1</xdr:col>
      <xdr:colOff>2489488</xdr:colOff>
      <xdr:row>6</xdr:row>
      <xdr:rowOff>380135</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432954" y="225137"/>
          <a:ext cx="4723534" cy="1401907"/>
        </a:xfrm>
        <a:prstGeom prst="rect">
          <a:avLst/>
        </a:prstGeom>
        <a:noFill/>
        <a:ln w="9525">
          <a:noFill/>
          <a:round/>
          <a:headEnd/>
          <a:tailEn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517071</xdr:colOff>
      <xdr:row>1</xdr:row>
      <xdr:rowOff>0</xdr:rowOff>
    </xdr:from>
    <xdr:to>
      <xdr:col>1</xdr:col>
      <xdr:colOff>1544410</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517071" y="204107"/>
          <a:ext cx="3694339" cy="1319893"/>
        </a:xfrm>
        <a:prstGeom prst="rect">
          <a:avLst/>
        </a:prstGeom>
        <a:noFill/>
        <a:ln w="9525">
          <a:noFill/>
          <a:round/>
          <a:headEnd/>
          <a:tailEn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0</xdr:row>
      <xdr:rowOff>176893</xdr:rowOff>
    </xdr:from>
    <xdr:to>
      <xdr:col>1</xdr:col>
      <xdr:colOff>1408339</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381000" y="176893"/>
          <a:ext cx="3694339" cy="1333500"/>
        </a:xfrm>
        <a:prstGeom prst="rect">
          <a:avLst/>
        </a:prstGeom>
        <a:noFill/>
        <a:ln w="9525">
          <a:noFill/>
          <a:round/>
          <a:headEnd/>
          <a:tailEnd/>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625928</xdr:colOff>
      <xdr:row>0</xdr:row>
      <xdr:rowOff>190500</xdr:rowOff>
    </xdr:from>
    <xdr:to>
      <xdr:col>1</xdr:col>
      <xdr:colOff>1639660</xdr:colOff>
      <xdr:row>7</xdr:row>
      <xdr:rowOff>0</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625928" y="190500"/>
          <a:ext cx="3785507" cy="1209675"/>
        </a:xfrm>
        <a:prstGeom prst="rect">
          <a:avLst/>
        </a:prstGeom>
        <a:noFill/>
        <a:ln w="9525">
          <a:noFill/>
          <a:round/>
          <a:headEnd/>
          <a:tailEn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653142</xdr:colOff>
      <xdr:row>1</xdr:row>
      <xdr:rowOff>122464</xdr:rowOff>
    </xdr:from>
    <xdr:to>
      <xdr:col>1</xdr:col>
      <xdr:colOff>1680481</xdr:colOff>
      <xdr:row>7</xdr:row>
      <xdr:rowOff>68036</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653142" y="326571"/>
          <a:ext cx="3694339" cy="1374322"/>
        </a:xfrm>
        <a:prstGeom prst="rect">
          <a:avLst/>
        </a:prstGeom>
        <a:noFill/>
        <a:ln w="9525">
          <a:noFill/>
          <a:round/>
          <a:headEnd/>
          <a:tailEnd/>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653142</xdr:colOff>
      <xdr:row>1</xdr:row>
      <xdr:rowOff>122464</xdr:rowOff>
    </xdr:from>
    <xdr:to>
      <xdr:col>1</xdr:col>
      <xdr:colOff>1680481</xdr:colOff>
      <xdr:row>7</xdr:row>
      <xdr:rowOff>68036</xdr:rowOff>
    </xdr:to>
    <xdr:pic>
      <xdr:nvPicPr>
        <xdr:cNvPr id="2" name="Picture 360"/>
        <xdr:cNvPicPr>
          <a:picLocks noChangeAspect="1" noChangeArrowheads="1"/>
        </xdr:cNvPicPr>
      </xdr:nvPicPr>
      <xdr:blipFill>
        <a:blip xmlns:r="http://schemas.openxmlformats.org/officeDocument/2006/relationships" r:embed="rId1" cstate="print"/>
        <a:srcRect/>
        <a:stretch>
          <a:fillRect/>
        </a:stretch>
      </xdr:blipFill>
      <xdr:spPr bwMode="auto">
        <a:xfrm>
          <a:off x="653142" y="351064"/>
          <a:ext cx="3694339" cy="1317172"/>
        </a:xfrm>
        <a:prstGeom prst="rect">
          <a:avLst/>
        </a:prstGeom>
        <a:noFill/>
        <a:ln w="9525">
          <a:noFill/>
          <a:round/>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tabSelected="1" view="pageBreakPreview" zoomScale="47" zoomScaleSheetLayoutView="47" workbookViewId="0">
      <selection activeCell="U16" sqref="U16"/>
    </sheetView>
  </sheetViews>
  <sheetFormatPr defaultRowHeight="18.75" x14ac:dyDescent="0.3"/>
  <cols>
    <col min="1" max="1" width="24.5703125" style="91" customWidth="1"/>
    <col min="2" max="2" width="31.140625" style="91" customWidth="1"/>
    <col min="3" max="3" width="26" style="91" customWidth="1"/>
    <col min="4" max="5" width="27" style="91" customWidth="1"/>
    <col min="6" max="6" width="28" style="91" customWidth="1"/>
    <col min="7" max="7" width="20.5703125" style="91" customWidth="1"/>
    <col min="8" max="8" width="22.5703125" style="91" bestFit="1" customWidth="1"/>
    <col min="9" max="9" width="22.5703125" style="91" customWidth="1"/>
    <col min="10" max="10" width="10" style="91" bestFit="1" customWidth="1"/>
    <col min="11" max="11" width="19" style="91" customWidth="1"/>
    <col min="12" max="18" width="9.140625" style="91"/>
    <col min="19" max="19" width="18.140625" style="91" customWidth="1"/>
    <col min="20" max="16384" width="9.140625" style="91"/>
  </cols>
  <sheetData>
    <row r="1" spans="1:21" s="90" customFormat="1" ht="18" x14ac:dyDescent="0.25"/>
    <row r="2" spans="1:21" ht="51" customHeight="1" x14ac:dyDescent="0.35">
      <c r="A2" s="447" t="s">
        <v>717</v>
      </c>
      <c r="B2" s="447"/>
      <c r="C2" s="447"/>
      <c r="D2" s="447"/>
      <c r="E2" s="447"/>
      <c r="F2" s="447"/>
      <c r="G2" s="447"/>
      <c r="H2" s="447"/>
      <c r="I2" s="447"/>
      <c r="J2" s="447"/>
      <c r="K2" s="447"/>
      <c r="L2" s="447"/>
      <c r="M2" s="447"/>
      <c r="N2" s="447"/>
      <c r="O2" s="447"/>
      <c r="P2" s="447"/>
      <c r="Q2" s="447"/>
      <c r="R2" s="447"/>
      <c r="S2" s="447"/>
      <c r="T2" s="447"/>
      <c r="U2" s="447"/>
    </row>
    <row r="3" spans="1:21" ht="51" customHeight="1" x14ac:dyDescent="0.35">
      <c r="A3" s="178"/>
      <c r="B3" s="178"/>
      <c r="C3" s="178"/>
      <c r="D3" s="178"/>
      <c r="E3" s="184"/>
      <c r="F3" s="178"/>
      <c r="G3" s="178"/>
      <c r="H3" s="178"/>
      <c r="I3" s="206"/>
      <c r="J3" s="178"/>
      <c r="K3" s="178"/>
      <c r="L3" s="178"/>
      <c r="M3" s="178"/>
      <c r="N3" s="178"/>
      <c r="O3" s="178"/>
      <c r="P3" s="178"/>
      <c r="Q3" s="178"/>
      <c r="R3" s="178"/>
      <c r="S3" s="178" t="s">
        <v>82</v>
      </c>
      <c r="T3" s="178"/>
      <c r="U3" s="178"/>
    </row>
    <row r="5" spans="1:21" ht="19.5" thickBot="1" x14ac:dyDescent="0.35"/>
    <row r="6" spans="1:21" ht="42.75" customHeight="1" x14ac:dyDescent="0.3">
      <c r="A6" s="448" t="s">
        <v>718</v>
      </c>
      <c r="B6" s="449"/>
      <c r="C6" s="449"/>
      <c r="D6" s="449"/>
      <c r="E6" s="449"/>
      <c r="F6" s="449"/>
      <c r="G6" s="449"/>
      <c r="H6" s="449"/>
      <c r="I6" s="220"/>
    </row>
    <row r="7" spans="1:21" s="205" customFormat="1" ht="46.5" x14ac:dyDescent="0.25">
      <c r="A7" s="207" t="s">
        <v>25</v>
      </c>
      <c r="B7" s="208" t="s">
        <v>24</v>
      </c>
      <c r="C7" s="221" t="s">
        <v>21</v>
      </c>
      <c r="D7" s="208" t="s">
        <v>135</v>
      </c>
      <c r="E7" s="208" t="s">
        <v>137</v>
      </c>
      <c r="F7" s="208" t="s">
        <v>134</v>
      </c>
      <c r="G7" s="208" t="s">
        <v>23</v>
      </c>
      <c r="H7" s="221" t="s">
        <v>136</v>
      </c>
      <c r="I7" s="223" t="s">
        <v>140</v>
      </c>
      <c r="J7" s="228" t="s">
        <v>138</v>
      </c>
    </row>
    <row r="8" spans="1:21" s="205" customFormat="1" ht="23.25" x14ac:dyDescent="0.25">
      <c r="A8" s="207"/>
      <c r="B8" s="208" t="s">
        <v>139</v>
      </c>
      <c r="C8" s="221" t="s">
        <v>139</v>
      </c>
      <c r="D8" s="208" t="s">
        <v>139</v>
      </c>
      <c r="E8" s="208" t="s">
        <v>139</v>
      </c>
      <c r="F8" s="208" t="s">
        <v>139</v>
      </c>
      <c r="G8" s="208" t="s">
        <v>139</v>
      </c>
      <c r="H8" s="221" t="s">
        <v>139</v>
      </c>
      <c r="I8" s="223" t="s">
        <v>139</v>
      </c>
    </row>
    <row r="9" spans="1:21" ht="27.75" customHeight="1" x14ac:dyDescent="0.35">
      <c r="A9" s="209" t="s">
        <v>127</v>
      </c>
      <c r="B9" s="210">
        <v>66560000</v>
      </c>
      <c r="C9" s="211">
        <f>'Prog 1-Administration'!H46</f>
        <v>45834389.259999998</v>
      </c>
      <c r="D9" s="212">
        <f>'Prog 1-Administration'!H65</f>
        <v>242389.46000000002</v>
      </c>
      <c r="E9" s="212">
        <f>'Prog 1-Administration'!H58</f>
        <v>0</v>
      </c>
      <c r="F9" s="212">
        <f>'Prog 1-Administration'!H105</f>
        <v>72514.960000000006</v>
      </c>
      <c r="G9" s="212">
        <f>'Prog 1-Administration'!H100</f>
        <v>1932214.0399999998</v>
      </c>
      <c r="H9" s="225">
        <f t="shared" ref="H9:H15" si="0">SUM(C9:G9)</f>
        <v>48081507.719999999</v>
      </c>
      <c r="I9" s="224">
        <f t="shared" ref="I9:I15" si="1">B9-H9</f>
        <v>18478492.280000001</v>
      </c>
      <c r="J9" s="219">
        <f t="shared" ref="J9:J15" si="2">H9/B9</f>
        <v>0.7223784212740384</v>
      </c>
    </row>
    <row r="10" spans="1:21" ht="27.75" customHeight="1" x14ac:dyDescent="0.35">
      <c r="A10" s="209" t="s">
        <v>129</v>
      </c>
      <c r="B10" s="210">
        <v>3500000</v>
      </c>
      <c r="C10" s="211">
        <f>'Prog 2-Legal, Auth &amp; Compl'!H18</f>
        <v>312703.32</v>
      </c>
      <c r="D10" s="212">
        <f>'Prog 2-Legal, Auth &amp; Compl'!H36</f>
        <v>1893024.84</v>
      </c>
      <c r="E10" s="212">
        <f>'Prog 2-Legal, Auth &amp; Compl'!H31</f>
        <v>67999.86</v>
      </c>
      <c r="F10" s="212">
        <f>'Prog 2-Legal, Auth &amp; Compl'!H59</f>
        <v>0</v>
      </c>
      <c r="G10" s="212">
        <f>'Prog 2-Legal, Auth &amp; Compl'!H52</f>
        <v>462735.27</v>
      </c>
      <c r="H10" s="225">
        <f t="shared" si="0"/>
        <v>2736463.29</v>
      </c>
      <c r="I10" s="224">
        <f t="shared" si="1"/>
        <v>763536.71</v>
      </c>
      <c r="J10" s="219">
        <f t="shared" si="2"/>
        <v>0.78184665428571432</v>
      </c>
    </row>
    <row r="11" spans="1:21" ht="28.5" customHeight="1" x14ac:dyDescent="0.35">
      <c r="A11" s="209" t="s">
        <v>128</v>
      </c>
      <c r="B11" s="210">
        <v>166000000</v>
      </c>
      <c r="C11" s="211">
        <f>'Prog 3-Ocean &amp;Coasts'!H25</f>
        <v>7436017.1100000003</v>
      </c>
      <c r="D11" s="212">
        <f>'Prog 3-Ocean &amp;Coasts'!H46</f>
        <v>313208.28999999998</v>
      </c>
      <c r="E11" s="212">
        <f>'Prog 3-Ocean &amp;Coasts'!H40</f>
        <v>0</v>
      </c>
      <c r="F11" s="212">
        <f>'Prog 3-Ocean &amp;Coasts'!H83</f>
        <v>129640301.42</v>
      </c>
      <c r="G11" s="212">
        <f>'Prog 3-Ocean &amp;Coasts'!H74</f>
        <v>5676742.9100000001</v>
      </c>
      <c r="H11" s="225">
        <f t="shared" si="0"/>
        <v>143066269.72999999</v>
      </c>
      <c r="I11" s="224">
        <f t="shared" si="1"/>
        <v>22933730.270000011</v>
      </c>
      <c r="J11" s="219">
        <f t="shared" si="2"/>
        <v>0.86184499837349393</v>
      </c>
    </row>
    <row r="12" spans="1:21" ht="28.5" customHeight="1" x14ac:dyDescent="0.35">
      <c r="A12" s="209" t="s">
        <v>130</v>
      </c>
      <c r="B12" s="210">
        <v>13800000</v>
      </c>
      <c r="C12" s="211">
        <f>'Prog4-Climate Chng&amp;Air Quality '!H26</f>
        <v>11054511.030000001</v>
      </c>
      <c r="D12" s="212">
        <f>'Prog4-Climate Chng&amp;Air Quality '!H44</f>
        <v>860462.5</v>
      </c>
      <c r="E12" s="212">
        <f>'Prog4-Climate Chng&amp;Air Quality '!H39</f>
        <v>0</v>
      </c>
      <c r="F12" s="212">
        <f>'Prog4-Climate Chng&amp;Air Quality '!H56</f>
        <v>0</v>
      </c>
      <c r="G12" s="212">
        <f>'Prog4-Climate Chng&amp;Air Quality '!H50</f>
        <v>30164</v>
      </c>
      <c r="H12" s="225">
        <f t="shared" si="0"/>
        <v>11945137.530000001</v>
      </c>
      <c r="I12" s="224">
        <f t="shared" si="1"/>
        <v>1854862.4699999988</v>
      </c>
      <c r="J12" s="219">
        <f t="shared" si="2"/>
        <v>0.86558967608695658</v>
      </c>
    </row>
    <row r="13" spans="1:21" ht="32.25" customHeight="1" x14ac:dyDescent="0.35">
      <c r="A13" s="209" t="s">
        <v>131</v>
      </c>
      <c r="B13" s="210">
        <v>8600000</v>
      </c>
      <c r="C13" s="211">
        <f>'Prog5-Bioderv&amp;Conservation'!H35</f>
        <v>6130142.3799999999</v>
      </c>
      <c r="D13" s="212">
        <f>'Prog5-Bioderv&amp;Conservation'!H53</f>
        <v>72222.25</v>
      </c>
      <c r="E13" s="212">
        <f>'Prog5-Bioderv&amp;Conservation'!H47</f>
        <v>0</v>
      </c>
      <c r="F13" s="212">
        <f>'Prog5-Bioderv&amp;Conservation'!H76</f>
        <v>0</v>
      </c>
      <c r="G13" s="212">
        <f>'Prog5-Bioderv&amp;Conservation'!H69</f>
        <v>337740.5</v>
      </c>
      <c r="H13" s="225">
        <f t="shared" si="0"/>
        <v>6540105.1299999999</v>
      </c>
      <c r="I13" s="224">
        <f t="shared" si="1"/>
        <v>2059894.87</v>
      </c>
      <c r="J13" s="219">
        <f t="shared" si="2"/>
        <v>0.76047734069767436</v>
      </c>
    </row>
    <row r="14" spans="1:21" ht="33.75" customHeight="1" x14ac:dyDescent="0.35">
      <c r="A14" s="209" t="s">
        <v>132</v>
      </c>
      <c r="B14" s="210">
        <v>90500000</v>
      </c>
      <c r="C14" s="211">
        <f>'Prog6-Environmental Programmes'!H29</f>
        <v>15627813.450000001</v>
      </c>
      <c r="D14" s="212">
        <f>'Prog6-Environmental Programmes'!H51</f>
        <v>367120.41</v>
      </c>
      <c r="E14" s="212">
        <f>'Prog6-Environmental Programmes'!H42</f>
        <v>0</v>
      </c>
      <c r="F14" s="212">
        <f>'Prog6-Environmental Programmes'!H63</f>
        <v>2631589.04</v>
      </c>
      <c r="G14" s="212">
        <f>'Prog6-Environmental Programmes'!H57</f>
        <v>51476063.240000002</v>
      </c>
      <c r="H14" s="225">
        <f t="shared" si="0"/>
        <v>70102586.140000001</v>
      </c>
      <c r="I14" s="224">
        <f t="shared" si="1"/>
        <v>20397413.859999999</v>
      </c>
      <c r="J14" s="219">
        <f t="shared" si="2"/>
        <v>0.77461421149171272</v>
      </c>
    </row>
    <row r="15" spans="1:21" ht="34.5" customHeight="1" thickBot="1" x14ac:dyDescent="0.4">
      <c r="A15" s="209" t="s">
        <v>133</v>
      </c>
      <c r="B15" s="210">
        <v>7500000</v>
      </c>
      <c r="C15" s="211">
        <f>'Prog7-Chemica&amp;Waste'!H20</f>
        <v>5456947.6300000008</v>
      </c>
      <c r="D15" s="212">
        <f>'Prog7-Chemica&amp;Waste'!H39</f>
        <v>253251.90000000002</v>
      </c>
      <c r="E15" s="212">
        <f>'Prog7-Chemica&amp;Waste'!H32</f>
        <v>0</v>
      </c>
      <c r="F15" s="212">
        <f>'Prog7-Chemica&amp;Waste'!H51</f>
        <v>0</v>
      </c>
      <c r="G15" s="212">
        <f>'Prog7-Chemica&amp;Waste'!H45</f>
        <v>32810.35</v>
      </c>
      <c r="H15" s="225">
        <f t="shared" si="0"/>
        <v>5743009.8800000008</v>
      </c>
      <c r="I15" s="224">
        <f t="shared" si="1"/>
        <v>1756990.1199999992</v>
      </c>
      <c r="J15" s="219">
        <f t="shared" si="2"/>
        <v>0.76573465066666679</v>
      </c>
    </row>
    <row r="16" spans="1:21" ht="20.25" customHeight="1" x14ac:dyDescent="0.35">
      <c r="A16" s="440"/>
      <c r="B16" s="441"/>
      <c r="C16" s="442"/>
      <c r="D16" s="443"/>
      <c r="E16" s="443"/>
      <c r="F16" s="443"/>
      <c r="G16" s="443"/>
      <c r="H16" s="444"/>
      <c r="I16" s="445"/>
      <c r="J16" s="219"/>
    </row>
    <row r="17" spans="1:10" ht="33.75" customHeight="1" thickBot="1" x14ac:dyDescent="0.4">
      <c r="A17" s="215" t="s">
        <v>11</v>
      </c>
      <c r="B17" s="216">
        <f t="shared" ref="B17:G17" si="3">SUM(B9:B15)</f>
        <v>356460000</v>
      </c>
      <c r="C17" s="217">
        <f t="shared" si="3"/>
        <v>91852524.179999992</v>
      </c>
      <c r="D17" s="218">
        <f t="shared" si="3"/>
        <v>4001679.6500000004</v>
      </c>
      <c r="E17" s="218">
        <f t="shared" si="3"/>
        <v>67999.86</v>
      </c>
      <c r="F17" s="218">
        <f t="shared" si="3"/>
        <v>132344405.42</v>
      </c>
      <c r="G17" s="218">
        <f t="shared" si="3"/>
        <v>59948470.310000002</v>
      </c>
      <c r="H17" s="226">
        <f>SUM(C17:G17)</f>
        <v>288215079.42000002</v>
      </c>
      <c r="I17" s="227">
        <f>B17-H17</f>
        <v>68244920.579999983</v>
      </c>
      <c r="J17" s="219">
        <f>H17/B17</f>
        <v>0.80854816647029126</v>
      </c>
    </row>
    <row r="18" spans="1:10" ht="21" customHeight="1" x14ac:dyDescent="0.35">
      <c r="A18" s="222"/>
      <c r="B18" s="213"/>
      <c r="C18" s="214"/>
      <c r="D18" s="214"/>
      <c r="E18" s="214"/>
      <c r="F18" s="214"/>
      <c r="G18" s="214"/>
      <c r="H18" s="213"/>
      <c r="I18" s="210"/>
      <c r="J18" s="219"/>
    </row>
    <row r="19" spans="1:10" ht="21" customHeight="1" x14ac:dyDescent="0.35">
      <c r="A19" s="222"/>
      <c r="B19" s="213"/>
      <c r="C19" s="214"/>
      <c r="D19" s="214"/>
      <c r="E19" s="214"/>
      <c r="F19" s="214"/>
      <c r="G19" s="214"/>
      <c r="H19" s="213"/>
      <c r="I19" s="210"/>
      <c r="J19" s="219"/>
    </row>
    <row r="20" spans="1:10" ht="21" customHeight="1" x14ac:dyDescent="0.35">
      <c r="A20" s="222"/>
      <c r="B20" s="213"/>
      <c r="C20" s="214"/>
      <c r="D20" s="214"/>
      <c r="E20" s="214"/>
      <c r="F20" s="214"/>
      <c r="G20" s="214"/>
      <c r="H20" s="213"/>
      <c r="I20" s="210"/>
      <c r="J20" s="219"/>
    </row>
    <row r="21" spans="1:10" ht="21" customHeight="1" x14ac:dyDescent="0.35">
      <c r="A21" s="222"/>
      <c r="B21" s="213"/>
      <c r="C21" s="214"/>
      <c r="D21" s="214"/>
      <c r="E21" s="214"/>
      <c r="F21" s="214"/>
      <c r="G21" s="214"/>
      <c r="H21" s="213"/>
      <c r="I21" s="210"/>
      <c r="J21" s="219"/>
    </row>
    <row r="22" spans="1:10" ht="21" customHeight="1" x14ac:dyDescent="0.35">
      <c r="A22" s="222"/>
      <c r="B22" s="213"/>
      <c r="C22" s="214"/>
      <c r="D22" s="214"/>
      <c r="E22" s="214"/>
      <c r="F22" s="214"/>
      <c r="G22" s="214"/>
      <c r="H22" s="213"/>
      <c r="I22" s="210"/>
      <c r="J22" s="219"/>
    </row>
    <row r="23" spans="1:10" ht="21" customHeight="1" x14ac:dyDescent="0.35">
      <c r="A23" s="222"/>
      <c r="B23" s="213"/>
      <c r="C23" s="214"/>
      <c r="D23" s="214"/>
      <c r="E23" s="214"/>
      <c r="F23" s="214"/>
      <c r="G23" s="214"/>
      <c r="H23" s="213"/>
      <c r="I23" s="210"/>
      <c r="J23" s="219"/>
    </row>
    <row r="24" spans="1:10" ht="21" customHeight="1" x14ac:dyDescent="0.35">
      <c r="A24" s="222"/>
      <c r="B24" s="213"/>
      <c r="C24" s="214"/>
      <c r="D24" s="214"/>
      <c r="E24" s="214"/>
      <c r="F24" s="214"/>
      <c r="G24" s="214"/>
      <c r="H24" s="213"/>
      <c r="I24" s="210"/>
      <c r="J24" s="219"/>
    </row>
    <row r="25" spans="1:10" ht="21" customHeight="1" x14ac:dyDescent="0.35">
      <c r="A25" s="222"/>
      <c r="B25" s="213"/>
      <c r="C25" s="214"/>
      <c r="D25" s="214"/>
      <c r="E25" s="214"/>
      <c r="F25" s="214"/>
      <c r="G25" s="214"/>
      <c r="H25" s="213"/>
      <c r="I25" s="210"/>
      <c r="J25" s="219"/>
    </row>
    <row r="26" spans="1:10" ht="21" customHeight="1" x14ac:dyDescent="0.35">
      <c r="A26" s="222"/>
      <c r="B26" s="213"/>
      <c r="C26" s="214"/>
      <c r="D26" s="214"/>
      <c r="E26" s="214"/>
      <c r="F26" s="214"/>
      <c r="G26" s="214"/>
      <c r="H26" s="213"/>
      <c r="I26" s="210"/>
      <c r="J26" s="219"/>
    </row>
    <row r="27" spans="1:10" ht="21" customHeight="1" x14ac:dyDescent="0.35">
      <c r="A27" s="222"/>
      <c r="B27" s="213"/>
      <c r="C27" s="214"/>
      <c r="D27" s="214"/>
      <c r="E27" s="214"/>
      <c r="F27" s="214"/>
      <c r="G27" s="214"/>
      <c r="H27" s="213"/>
      <c r="I27" s="210"/>
      <c r="J27" s="219"/>
    </row>
    <row r="28" spans="1:10" ht="21" customHeight="1" x14ac:dyDescent="0.35">
      <c r="A28" s="222"/>
      <c r="B28" s="213"/>
      <c r="C28" s="214"/>
      <c r="D28" s="214"/>
      <c r="E28" s="214"/>
      <c r="F28" s="214"/>
      <c r="G28" s="214"/>
      <c r="H28" s="213"/>
      <c r="I28" s="210"/>
      <c r="J28" s="219"/>
    </row>
    <row r="29" spans="1:10" ht="21" customHeight="1" x14ac:dyDescent="0.35">
      <c r="A29" s="222"/>
      <c r="B29" s="213"/>
      <c r="C29" s="214"/>
      <c r="D29" s="214"/>
      <c r="E29" s="214"/>
      <c r="F29" s="214"/>
      <c r="G29" s="214"/>
      <c r="H29" s="213"/>
      <c r="I29" s="210"/>
      <c r="J29" s="219"/>
    </row>
    <row r="30" spans="1:10" ht="21" customHeight="1" x14ac:dyDescent="0.35">
      <c r="A30" s="222"/>
      <c r="B30" s="213"/>
      <c r="C30" s="214"/>
      <c r="D30" s="214"/>
      <c r="E30" s="214"/>
      <c r="F30" s="214"/>
      <c r="G30" s="214"/>
      <c r="H30" s="213"/>
      <c r="I30" s="210"/>
      <c r="J30" s="219"/>
    </row>
    <row r="31" spans="1:10" ht="21" customHeight="1" x14ac:dyDescent="0.35">
      <c r="A31" s="222"/>
      <c r="B31" s="213"/>
      <c r="C31" s="214"/>
      <c r="D31" s="214"/>
      <c r="E31" s="214"/>
      <c r="F31" s="214"/>
      <c r="G31" s="214"/>
      <c r="H31" s="213"/>
      <c r="I31" s="210"/>
      <c r="J31" s="219"/>
    </row>
    <row r="32" spans="1:10" ht="21" customHeight="1" x14ac:dyDescent="0.35">
      <c r="A32" s="222"/>
      <c r="B32" s="213"/>
      <c r="C32" s="214"/>
      <c r="D32" s="214"/>
      <c r="E32" s="214"/>
      <c r="F32" s="214"/>
      <c r="G32" s="214"/>
      <c r="H32" s="213"/>
      <c r="I32" s="210"/>
      <c r="J32" s="219"/>
    </row>
    <row r="33" spans="1:10" ht="21" customHeight="1" x14ac:dyDescent="0.35">
      <c r="A33" s="222"/>
      <c r="B33" s="213"/>
      <c r="C33" s="214"/>
      <c r="D33" s="214"/>
      <c r="E33" s="214"/>
      <c r="F33" s="214"/>
      <c r="G33" s="214"/>
      <c r="H33" s="213"/>
      <c r="I33" s="210"/>
      <c r="J33" s="219"/>
    </row>
    <row r="34" spans="1:10" ht="21" customHeight="1" x14ac:dyDescent="0.35">
      <c r="A34" s="222"/>
      <c r="B34" s="213"/>
      <c r="C34" s="214"/>
      <c r="D34" s="214"/>
      <c r="E34" s="214"/>
      <c r="F34" s="214"/>
      <c r="G34" s="214"/>
      <c r="H34" s="213"/>
      <c r="I34" s="210"/>
      <c r="J34" s="219"/>
    </row>
    <row r="35" spans="1:10" ht="21" customHeight="1" x14ac:dyDescent="0.35">
      <c r="A35" s="222"/>
      <c r="B35" s="213"/>
      <c r="C35" s="214"/>
      <c r="D35" s="214"/>
      <c r="E35" s="214"/>
      <c r="F35" s="214"/>
      <c r="G35" s="214"/>
      <c r="H35" s="213"/>
      <c r="I35" s="210"/>
      <c r="J35" s="219"/>
    </row>
    <row r="36" spans="1:10" ht="21" customHeight="1" x14ac:dyDescent="0.35">
      <c r="A36" s="222"/>
      <c r="B36" s="213"/>
      <c r="C36" s="214"/>
      <c r="D36" s="214"/>
      <c r="E36" s="214"/>
      <c r="F36" s="214"/>
      <c r="G36" s="214"/>
      <c r="H36" s="213"/>
      <c r="I36" s="210"/>
      <c r="J36" s="219"/>
    </row>
    <row r="37" spans="1:10" ht="21" customHeight="1" x14ac:dyDescent="0.35">
      <c r="A37" s="222"/>
      <c r="B37" s="213"/>
      <c r="C37" s="214"/>
      <c r="D37" s="214"/>
      <c r="E37" s="214"/>
      <c r="F37" s="214"/>
      <c r="G37" s="214"/>
      <c r="H37" s="213"/>
      <c r="I37" s="210"/>
      <c r="J37" s="219"/>
    </row>
    <row r="38" spans="1:10" ht="21" customHeight="1" x14ac:dyDescent="0.35">
      <c r="A38" s="222"/>
      <c r="B38" s="213"/>
      <c r="C38" s="214"/>
      <c r="D38" s="214"/>
      <c r="E38" s="214"/>
      <c r="F38" s="214"/>
      <c r="G38" s="214"/>
      <c r="H38" s="213"/>
      <c r="I38" s="210"/>
      <c r="J38" s="219"/>
    </row>
    <row r="39" spans="1:10" ht="21" customHeight="1" x14ac:dyDescent="0.35">
      <c r="A39" s="222"/>
      <c r="B39" s="213"/>
      <c r="C39" s="214"/>
      <c r="D39" s="214"/>
      <c r="E39" s="214"/>
      <c r="F39" s="214"/>
      <c r="G39" s="214"/>
      <c r="H39" s="213"/>
      <c r="I39" s="210"/>
      <c r="J39" s="219"/>
    </row>
    <row r="40" spans="1:10" ht="21" customHeight="1" x14ac:dyDescent="0.35">
      <c r="A40" s="222"/>
      <c r="B40" s="213"/>
      <c r="C40" s="214"/>
      <c r="D40" s="214"/>
      <c r="E40" s="214"/>
      <c r="F40" s="214"/>
      <c r="G40" s="214"/>
      <c r="H40" s="213"/>
      <c r="I40" s="210"/>
      <c r="J40" s="219"/>
    </row>
    <row r="41" spans="1:10" ht="21" customHeight="1" x14ac:dyDescent="0.35">
      <c r="A41" s="222"/>
      <c r="B41" s="213"/>
      <c r="C41" s="214"/>
      <c r="D41" s="214"/>
      <c r="E41" s="214"/>
      <c r="F41" s="214"/>
      <c r="G41" s="214"/>
      <c r="H41" s="213"/>
      <c r="I41" s="210"/>
      <c r="J41" s="219"/>
    </row>
    <row r="42" spans="1:10" ht="21" customHeight="1" x14ac:dyDescent="0.35">
      <c r="A42" s="222"/>
      <c r="B42" s="213"/>
      <c r="C42" s="214"/>
      <c r="D42" s="214"/>
      <c r="E42" s="214"/>
      <c r="F42" s="214"/>
      <c r="G42" s="214"/>
      <c r="H42" s="213"/>
      <c r="I42" s="210"/>
      <c r="J42" s="219"/>
    </row>
    <row r="43" spans="1:10" ht="21" customHeight="1" x14ac:dyDescent="0.35">
      <c r="A43" s="222"/>
      <c r="B43" s="213"/>
      <c r="C43" s="214"/>
      <c r="D43" s="214"/>
      <c r="E43" s="214"/>
      <c r="F43" s="214"/>
      <c r="G43" s="214"/>
      <c r="H43" s="213"/>
      <c r="I43" s="210"/>
      <c r="J43" s="219"/>
    </row>
    <row r="44" spans="1:10" ht="21" customHeight="1" x14ac:dyDescent="0.35">
      <c r="A44" s="222"/>
      <c r="B44" s="213"/>
      <c r="C44" s="214"/>
      <c r="D44" s="214"/>
      <c r="E44" s="214"/>
      <c r="F44" s="214"/>
      <c r="G44" s="214"/>
      <c r="H44" s="213"/>
      <c r="I44" s="210"/>
      <c r="J44" s="219"/>
    </row>
    <row r="45" spans="1:10" ht="21" customHeight="1" x14ac:dyDescent="0.35">
      <c r="A45" s="222"/>
      <c r="B45" s="213"/>
      <c r="C45" s="214"/>
      <c r="D45" s="214"/>
      <c r="E45" s="214"/>
      <c r="F45" s="214"/>
      <c r="G45" s="214"/>
      <c r="H45" s="213"/>
      <c r="I45" s="210"/>
      <c r="J45" s="219"/>
    </row>
    <row r="46" spans="1:10" ht="21" customHeight="1" x14ac:dyDescent="0.35">
      <c r="A46" s="222"/>
      <c r="B46" s="213"/>
      <c r="C46" s="214"/>
      <c r="D46" s="214"/>
      <c r="E46" s="214"/>
      <c r="F46" s="214"/>
      <c r="G46" s="214"/>
      <c r="H46" s="213"/>
      <c r="I46" s="210"/>
      <c r="J46" s="219"/>
    </row>
    <row r="47" spans="1:10" ht="21" customHeight="1" x14ac:dyDescent="0.35">
      <c r="A47" s="222"/>
      <c r="B47" s="213"/>
      <c r="C47" s="214"/>
      <c r="D47" s="214"/>
      <c r="E47" s="214"/>
      <c r="F47" s="214"/>
      <c r="G47" s="214"/>
      <c r="H47" s="213"/>
      <c r="I47" s="210"/>
      <c r="J47" s="219"/>
    </row>
    <row r="48" spans="1:10" ht="21" customHeight="1" x14ac:dyDescent="0.35">
      <c r="A48" s="222"/>
      <c r="B48" s="213"/>
      <c r="C48" s="214"/>
      <c r="D48" s="214"/>
      <c r="E48" s="214"/>
      <c r="F48" s="214"/>
      <c r="G48" s="214"/>
      <c r="H48" s="213"/>
      <c r="I48" s="210"/>
      <c r="J48" s="219"/>
    </row>
    <row r="49" spans="1:10" ht="21" customHeight="1" x14ac:dyDescent="0.35">
      <c r="A49" s="222"/>
      <c r="B49" s="213"/>
      <c r="C49" s="214"/>
      <c r="D49" s="214"/>
      <c r="E49" s="214"/>
      <c r="F49" s="214"/>
      <c r="G49" s="214"/>
      <c r="H49" s="213"/>
      <c r="I49" s="210"/>
      <c r="J49" s="219"/>
    </row>
    <row r="50" spans="1:10" ht="21" customHeight="1" x14ac:dyDescent="0.35">
      <c r="A50" s="222"/>
      <c r="B50" s="213"/>
      <c r="C50" s="214"/>
      <c r="D50" s="214"/>
      <c r="E50" s="214"/>
      <c r="F50" s="214"/>
      <c r="G50" s="214"/>
      <c r="H50" s="213"/>
      <c r="I50" s="210"/>
      <c r="J50" s="219"/>
    </row>
    <row r="72" spans="1:5" ht="35.25" customHeight="1" x14ac:dyDescent="0.3">
      <c r="A72" s="446"/>
      <c r="B72" s="446"/>
      <c r="C72" s="446"/>
      <c r="D72" s="446"/>
      <c r="E72" s="137"/>
    </row>
    <row r="73" spans="1:5" x14ac:dyDescent="0.3">
      <c r="A73" s="137"/>
      <c r="B73" s="137"/>
      <c r="C73" s="137"/>
      <c r="D73" s="137"/>
      <c r="E73" s="137"/>
    </row>
    <row r="74" spans="1:5" ht="26.25" customHeight="1" x14ac:dyDescent="0.3">
      <c r="A74" s="204"/>
      <c r="B74" s="144"/>
      <c r="C74" s="144"/>
      <c r="D74" s="144"/>
      <c r="E74" s="144"/>
    </row>
    <row r="75" spans="1:5" ht="26.25" customHeight="1" x14ac:dyDescent="0.3">
      <c r="A75" s="204"/>
      <c r="B75" s="144"/>
      <c r="C75" s="144"/>
      <c r="D75" s="144"/>
      <c r="E75" s="144"/>
    </row>
    <row r="76" spans="1:5" ht="26.25" customHeight="1" x14ac:dyDescent="0.3">
      <c r="A76" s="204"/>
      <c r="B76" s="144"/>
      <c r="C76" s="144"/>
      <c r="D76" s="144"/>
      <c r="E76" s="144"/>
    </row>
    <row r="77" spans="1:5" ht="26.25" customHeight="1" x14ac:dyDescent="0.3">
      <c r="A77" s="204"/>
      <c r="B77" s="144"/>
      <c r="C77" s="144"/>
      <c r="D77" s="144"/>
      <c r="E77" s="144"/>
    </row>
    <row r="78" spans="1:5" ht="26.25" customHeight="1" x14ac:dyDescent="0.3">
      <c r="A78" s="204"/>
      <c r="B78" s="144"/>
      <c r="C78" s="144"/>
      <c r="D78" s="144"/>
      <c r="E78" s="144"/>
    </row>
    <row r="79" spans="1:5" ht="26.25" customHeight="1" x14ac:dyDescent="0.3">
      <c r="A79" s="204"/>
      <c r="B79" s="144"/>
      <c r="C79" s="144"/>
      <c r="D79" s="144"/>
      <c r="E79" s="144"/>
    </row>
    <row r="100" spans="2:2" x14ac:dyDescent="0.3">
      <c r="B100" s="144"/>
    </row>
    <row r="101" spans="2:2" x14ac:dyDescent="0.3">
      <c r="B101" s="144"/>
    </row>
    <row r="102" spans="2:2" x14ac:dyDescent="0.3">
      <c r="B102" s="144"/>
    </row>
  </sheetData>
  <mergeCells count="3">
    <mergeCell ref="A72:D72"/>
    <mergeCell ref="A2:U2"/>
    <mergeCell ref="A6:H6"/>
  </mergeCells>
  <pageMargins left="0.70866141732283505" right="0.70866141732283505" top="0.74803149606299202" bottom="0.74803149606299202" header="0.31496062992126" footer="0.31496062992126"/>
  <pageSetup paperSize="8" scale="36" orientation="landscape" r:id="rId1"/>
  <rowBreaks count="1" manualBreakCount="1">
    <brk id="53"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114"/>
  <sheetViews>
    <sheetView view="pageBreakPreview" topLeftCell="C94" zoomScale="60" zoomScaleNormal="70" workbookViewId="0">
      <selection activeCell="I100" sqref="A100:K101"/>
    </sheetView>
  </sheetViews>
  <sheetFormatPr defaultRowHeight="18" x14ac:dyDescent="0.25"/>
  <cols>
    <col min="1" max="1" width="63.85546875" style="29" customWidth="1"/>
    <col min="2" max="2" width="63" style="60" customWidth="1"/>
    <col min="3" max="3" width="21.7109375" style="60" customWidth="1"/>
    <col min="4" max="4" width="24.42578125" style="60" customWidth="1"/>
    <col min="5" max="5" width="16.85546875" style="59" customWidth="1"/>
    <col min="6" max="6" width="13.140625" style="29" customWidth="1"/>
    <col min="7" max="7" width="12.85546875" style="59" customWidth="1"/>
    <col min="8" max="8" width="23.28515625" style="88" bestFit="1" customWidth="1"/>
    <col min="9" max="9" width="39.7109375" style="60" customWidth="1"/>
    <col min="10" max="10" width="97.42578125" style="60" customWidth="1"/>
    <col min="11" max="11" width="25" style="29" customWidth="1"/>
    <col min="12" max="20" width="9.140625" style="65"/>
    <col min="21" max="16384" width="9.140625" style="29"/>
  </cols>
  <sheetData>
    <row r="6" spans="1:20" s="27" customFormat="1" x14ac:dyDescent="0.25">
      <c r="A6" s="450"/>
      <c r="B6" s="450"/>
      <c r="C6" s="450"/>
      <c r="D6" s="450"/>
      <c r="E6" s="450"/>
      <c r="F6" s="450"/>
      <c r="G6" s="450"/>
      <c r="H6" s="450"/>
      <c r="I6" s="26"/>
      <c r="J6" s="26"/>
      <c r="L6" s="64"/>
      <c r="M6" s="64"/>
      <c r="N6" s="64"/>
      <c r="O6" s="64"/>
      <c r="P6" s="64"/>
      <c r="Q6" s="64"/>
      <c r="R6" s="64"/>
      <c r="S6" s="64"/>
      <c r="T6" s="64"/>
    </row>
    <row r="7" spans="1:20" s="27" customFormat="1" x14ac:dyDescent="0.25">
      <c r="A7" s="450"/>
      <c r="B7" s="450"/>
      <c r="C7" s="450"/>
      <c r="D7" s="450"/>
      <c r="E7" s="450"/>
      <c r="F7" s="450"/>
      <c r="G7" s="450"/>
      <c r="H7" s="450"/>
      <c r="I7" s="450"/>
      <c r="J7" s="450"/>
      <c r="K7" s="450"/>
      <c r="L7" s="64"/>
      <c r="M7" s="64"/>
      <c r="N7" s="64"/>
      <c r="O7" s="64"/>
      <c r="P7" s="64"/>
      <c r="Q7" s="64"/>
      <c r="R7" s="64"/>
      <c r="S7" s="64"/>
      <c r="T7" s="64"/>
    </row>
    <row r="8" spans="1:20" ht="32.25" customHeight="1" x14ac:dyDescent="0.25">
      <c r="A8" s="451" t="s">
        <v>83</v>
      </c>
      <c r="B8" s="451"/>
      <c r="C8" s="451"/>
      <c r="D8" s="451"/>
      <c r="E8" s="451"/>
      <c r="F8" s="451"/>
      <c r="G8" s="451"/>
      <c r="H8" s="451"/>
      <c r="I8" s="451"/>
      <c r="J8" s="451"/>
      <c r="K8" s="451"/>
    </row>
    <row r="9" spans="1:20" ht="29.1" customHeight="1" x14ac:dyDescent="0.25">
      <c r="A9" s="451"/>
      <c r="B9" s="451"/>
      <c r="C9" s="451"/>
      <c r="D9" s="451"/>
      <c r="E9" s="451"/>
      <c r="F9" s="451"/>
      <c r="G9" s="451"/>
      <c r="H9" s="451"/>
      <c r="I9" s="451"/>
      <c r="J9" s="451"/>
      <c r="K9" s="451"/>
    </row>
    <row r="10" spans="1:20" ht="29.1" customHeight="1" x14ac:dyDescent="0.25">
      <c r="A10" s="452"/>
      <c r="B10" s="452"/>
      <c r="C10" s="452"/>
      <c r="D10" s="452"/>
      <c r="E10" s="452"/>
      <c r="F10" s="452"/>
      <c r="G10" s="452"/>
      <c r="H10" s="452"/>
      <c r="I10" s="452"/>
      <c r="J10" s="452"/>
      <c r="K10" s="452"/>
    </row>
    <row r="11" spans="1:20" ht="29.1" customHeight="1" x14ac:dyDescent="0.25">
      <c r="A11" s="452" t="s">
        <v>16</v>
      </c>
      <c r="B11" s="452"/>
      <c r="C11" s="452"/>
      <c r="D11" s="452"/>
      <c r="E11" s="452"/>
      <c r="F11" s="452"/>
      <c r="G11" s="452"/>
      <c r="H11" s="452"/>
      <c r="I11" s="452"/>
      <c r="J11" s="452"/>
      <c r="K11" s="452"/>
    </row>
    <row r="12" spans="1:20" ht="29.1" customHeight="1" x14ac:dyDescent="0.25">
      <c r="A12" s="452"/>
      <c r="B12" s="452"/>
      <c r="C12" s="452"/>
      <c r="D12" s="452"/>
      <c r="E12" s="452"/>
      <c r="F12" s="452"/>
      <c r="G12" s="452"/>
      <c r="H12" s="452"/>
      <c r="I12" s="452"/>
      <c r="J12" s="452"/>
      <c r="K12" s="452"/>
    </row>
    <row r="13" spans="1:20" ht="29.1" customHeight="1" x14ac:dyDescent="0.25">
      <c r="A13" s="453"/>
      <c r="B13" s="453"/>
      <c r="C13" s="453"/>
      <c r="D13" s="453"/>
      <c r="E13" s="453"/>
      <c r="F13" s="453"/>
      <c r="G13" s="453"/>
      <c r="H13" s="453"/>
      <c r="I13" s="453"/>
      <c r="J13" s="453"/>
      <c r="K13" s="453"/>
    </row>
    <row r="14" spans="1:20" ht="60.75" customHeight="1" x14ac:dyDescent="0.25">
      <c r="A14" s="145" t="s">
        <v>0</v>
      </c>
      <c r="B14" s="145" t="s">
        <v>1</v>
      </c>
      <c r="C14" s="146" t="s">
        <v>12</v>
      </c>
      <c r="D14" s="146" t="s">
        <v>13</v>
      </c>
      <c r="E14" s="145" t="s">
        <v>2</v>
      </c>
      <c r="F14" s="147" t="s">
        <v>3</v>
      </c>
      <c r="G14" s="145" t="s">
        <v>4</v>
      </c>
      <c r="H14" s="148" t="s">
        <v>5</v>
      </c>
      <c r="I14" s="149" t="s">
        <v>14</v>
      </c>
      <c r="J14" s="149" t="s">
        <v>10</v>
      </c>
      <c r="K14" s="149" t="s">
        <v>9</v>
      </c>
    </row>
    <row r="15" spans="1:20" ht="61.5" customHeight="1" x14ac:dyDescent="0.25">
      <c r="A15" s="31" t="s">
        <v>37</v>
      </c>
      <c r="B15" s="2" t="s">
        <v>38</v>
      </c>
      <c r="C15" s="32" t="s">
        <v>109</v>
      </c>
      <c r="D15" s="33" t="s">
        <v>141</v>
      </c>
      <c r="E15" s="34" t="s">
        <v>20</v>
      </c>
      <c r="F15" s="180">
        <v>0</v>
      </c>
      <c r="G15" s="180">
        <v>0</v>
      </c>
      <c r="H15" s="66">
        <f>9165*2+9165+9165+11352</f>
        <v>48012</v>
      </c>
      <c r="I15" s="7" t="s">
        <v>50</v>
      </c>
      <c r="J15" s="7" t="s">
        <v>49</v>
      </c>
      <c r="K15" s="19" t="s">
        <v>48</v>
      </c>
    </row>
    <row r="16" spans="1:20" ht="61.5" customHeight="1" x14ac:dyDescent="0.25">
      <c r="A16" s="31" t="s">
        <v>39</v>
      </c>
      <c r="B16" s="2" t="s">
        <v>38</v>
      </c>
      <c r="C16" s="32" t="s">
        <v>109</v>
      </c>
      <c r="D16" s="33" t="s">
        <v>141</v>
      </c>
      <c r="E16" s="34" t="s">
        <v>20</v>
      </c>
      <c r="F16" s="180">
        <v>0</v>
      </c>
      <c r="G16" s="180">
        <v>0</v>
      </c>
      <c r="H16" s="66">
        <v>9696</v>
      </c>
      <c r="I16" s="7" t="s">
        <v>50</v>
      </c>
      <c r="J16" s="7" t="s">
        <v>49</v>
      </c>
      <c r="K16" s="19" t="s">
        <v>48</v>
      </c>
    </row>
    <row r="17" spans="1:11" ht="61.5" customHeight="1" x14ac:dyDescent="0.25">
      <c r="A17" s="31" t="s">
        <v>40</v>
      </c>
      <c r="B17" s="2" t="s">
        <v>38</v>
      </c>
      <c r="C17" s="32" t="s">
        <v>109</v>
      </c>
      <c r="D17" s="33" t="s">
        <v>141</v>
      </c>
      <c r="E17" s="34" t="s">
        <v>20</v>
      </c>
      <c r="F17" s="180">
        <v>0</v>
      </c>
      <c r="G17" s="180">
        <v>0</v>
      </c>
      <c r="H17" s="66">
        <f>6168*2+6168+6168+6888</f>
        <v>31560</v>
      </c>
      <c r="I17" s="7" t="s">
        <v>50</v>
      </c>
      <c r="J17" s="7" t="s">
        <v>49</v>
      </c>
      <c r="K17" s="19" t="s">
        <v>48</v>
      </c>
    </row>
    <row r="18" spans="1:11" ht="61.5" customHeight="1" x14ac:dyDescent="0.25">
      <c r="A18" s="31" t="s">
        <v>53</v>
      </c>
      <c r="B18" s="2" t="s">
        <v>38</v>
      </c>
      <c r="C18" s="32" t="s">
        <v>109</v>
      </c>
      <c r="D18" s="33" t="s">
        <v>141</v>
      </c>
      <c r="E18" s="34" t="s">
        <v>20</v>
      </c>
      <c r="F18" s="180">
        <v>0</v>
      </c>
      <c r="G18" s="180">
        <v>0</v>
      </c>
      <c r="H18" s="66">
        <f>6168*2+6168+6888</f>
        <v>25392</v>
      </c>
      <c r="I18" s="7" t="s">
        <v>50</v>
      </c>
      <c r="J18" s="2" t="s">
        <v>56</v>
      </c>
      <c r="K18" s="19" t="s">
        <v>57</v>
      </c>
    </row>
    <row r="19" spans="1:11" ht="61.5" customHeight="1" x14ac:dyDescent="0.25">
      <c r="A19" s="31" t="s">
        <v>63</v>
      </c>
      <c r="B19" s="2" t="s">
        <v>70</v>
      </c>
      <c r="C19" s="32" t="s">
        <v>109</v>
      </c>
      <c r="D19" s="33" t="s">
        <v>141</v>
      </c>
      <c r="E19" s="34" t="s">
        <v>20</v>
      </c>
      <c r="F19" s="180">
        <v>0</v>
      </c>
      <c r="G19" s="180">
        <v>0</v>
      </c>
      <c r="H19" s="66">
        <v>260775</v>
      </c>
      <c r="I19" s="7" t="s">
        <v>71</v>
      </c>
      <c r="J19" s="2" t="s">
        <v>70</v>
      </c>
      <c r="K19" s="19" t="s">
        <v>72</v>
      </c>
    </row>
    <row r="20" spans="1:11" ht="61.5" customHeight="1" x14ac:dyDescent="0.25">
      <c r="A20" s="31" t="s">
        <v>64</v>
      </c>
      <c r="B20" s="2" t="s">
        <v>67</v>
      </c>
      <c r="C20" s="32" t="s">
        <v>109</v>
      </c>
      <c r="D20" s="33" t="s">
        <v>141</v>
      </c>
      <c r="E20" s="34" t="s">
        <v>66</v>
      </c>
      <c r="F20" s="180">
        <v>0</v>
      </c>
      <c r="G20" s="180">
        <v>0</v>
      </c>
      <c r="H20" s="66">
        <f>29282+342000</f>
        <v>371282</v>
      </c>
      <c r="I20" s="7" t="s">
        <v>68</v>
      </c>
      <c r="J20" s="2" t="s">
        <v>67</v>
      </c>
      <c r="K20" s="19" t="s">
        <v>36</v>
      </c>
    </row>
    <row r="21" spans="1:11" ht="61.5" customHeight="1" x14ac:dyDescent="0.25">
      <c r="A21" s="31" t="s">
        <v>75</v>
      </c>
      <c r="B21" s="2" t="s">
        <v>79</v>
      </c>
      <c r="C21" s="32" t="s">
        <v>109</v>
      </c>
      <c r="D21" s="33" t="s">
        <v>141</v>
      </c>
      <c r="E21" s="34" t="s">
        <v>20</v>
      </c>
      <c r="F21" s="180">
        <v>0</v>
      </c>
      <c r="G21" s="180">
        <v>0</v>
      </c>
      <c r="H21" s="66">
        <f>1911625.3+473380.8</f>
        <v>2385006.1</v>
      </c>
      <c r="I21" s="7" t="s">
        <v>68</v>
      </c>
      <c r="J21" s="2" t="s">
        <v>79</v>
      </c>
      <c r="K21" s="19" t="s">
        <v>80</v>
      </c>
    </row>
    <row r="22" spans="1:11" ht="61.5" customHeight="1" x14ac:dyDescent="0.25">
      <c r="A22" s="266" t="s">
        <v>174</v>
      </c>
      <c r="B22" s="265" t="s">
        <v>258</v>
      </c>
      <c r="C22" s="268" t="s">
        <v>259</v>
      </c>
      <c r="D22" s="269" t="s">
        <v>260</v>
      </c>
      <c r="E22" s="270" t="s">
        <v>261</v>
      </c>
      <c r="F22" s="271">
        <v>0</v>
      </c>
      <c r="G22" s="271">
        <v>0</v>
      </c>
      <c r="H22" s="263">
        <v>10906.38</v>
      </c>
      <c r="I22" s="265" t="s">
        <v>282</v>
      </c>
      <c r="J22" s="265" t="s">
        <v>283</v>
      </c>
      <c r="K22" s="267" t="s">
        <v>284</v>
      </c>
    </row>
    <row r="23" spans="1:11" ht="61.5" customHeight="1" x14ac:dyDescent="0.25">
      <c r="A23" s="266" t="s">
        <v>175</v>
      </c>
      <c r="B23" s="265" t="s">
        <v>262</v>
      </c>
      <c r="C23" s="268"/>
      <c r="D23" s="269"/>
      <c r="E23" s="270"/>
      <c r="F23" s="271">
        <v>0</v>
      </c>
      <c r="G23" s="271">
        <v>0</v>
      </c>
      <c r="H23" s="263">
        <f>191862+228262.2+115311+55860</f>
        <v>591295.19999999995</v>
      </c>
      <c r="I23" s="265" t="s">
        <v>282</v>
      </c>
      <c r="J23" s="265" t="s">
        <v>262</v>
      </c>
      <c r="K23" s="267" t="s">
        <v>285</v>
      </c>
    </row>
    <row r="24" spans="1:11" ht="61.5" customHeight="1" x14ac:dyDescent="0.25">
      <c r="A24" s="266" t="s">
        <v>176</v>
      </c>
      <c r="B24" s="265" t="s">
        <v>263</v>
      </c>
      <c r="C24" s="268" t="s">
        <v>164</v>
      </c>
      <c r="D24" s="269"/>
      <c r="E24" s="270"/>
      <c r="F24" s="271">
        <v>1.01E-2</v>
      </c>
      <c r="G24" s="271">
        <v>0.34060000000000001</v>
      </c>
      <c r="H24" s="263">
        <v>432202.4</v>
      </c>
      <c r="I24" s="265" t="s">
        <v>282</v>
      </c>
      <c r="J24" s="265" t="s">
        <v>286</v>
      </c>
      <c r="K24" s="267" t="s">
        <v>36</v>
      </c>
    </row>
    <row r="25" spans="1:11" ht="61.5" customHeight="1" x14ac:dyDescent="0.25">
      <c r="A25" s="266" t="s">
        <v>177</v>
      </c>
      <c r="B25" s="265" t="s">
        <v>264</v>
      </c>
      <c r="C25" s="268" t="s">
        <v>265</v>
      </c>
      <c r="D25" s="269" t="s">
        <v>266</v>
      </c>
      <c r="E25" s="270" t="s">
        <v>261</v>
      </c>
      <c r="F25" s="271">
        <v>0.25369999999999998</v>
      </c>
      <c r="G25" s="271">
        <v>0.151</v>
      </c>
      <c r="H25" s="263">
        <f>99561.59+16858.57+17325.54</f>
        <v>133745.70000000001</v>
      </c>
      <c r="I25" s="265" t="s">
        <v>282</v>
      </c>
      <c r="J25" s="265" t="s">
        <v>287</v>
      </c>
      <c r="K25" s="267" t="s">
        <v>288</v>
      </c>
    </row>
    <row r="26" spans="1:11" ht="61.5" customHeight="1" x14ac:dyDescent="0.25">
      <c r="A26" s="266" t="s">
        <v>178</v>
      </c>
      <c r="B26" s="265" t="s">
        <v>267</v>
      </c>
      <c r="C26" s="268" t="s">
        <v>268</v>
      </c>
      <c r="D26" s="269" t="s">
        <v>269</v>
      </c>
      <c r="E26" s="270" t="s">
        <v>270</v>
      </c>
      <c r="F26" s="271">
        <v>0</v>
      </c>
      <c r="G26" s="271">
        <v>0</v>
      </c>
      <c r="H26" s="263">
        <f>11699350.11+3200000</f>
        <v>14899350.109999999</v>
      </c>
      <c r="I26" s="265" t="s">
        <v>282</v>
      </c>
      <c r="J26" s="265" t="s">
        <v>289</v>
      </c>
      <c r="K26" s="267" t="s">
        <v>290</v>
      </c>
    </row>
    <row r="27" spans="1:11" ht="61.5" customHeight="1" x14ac:dyDescent="0.25">
      <c r="A27" s="266" t="s">
        <v>233</v>
      </c>
      <c r="B27" s="265" t="s">
        <v>271</v>
      </c>
      <c r="C27" s="268" t="s">
        <v>272</v>
      </c>
      <c r="D27" s="269" t="s">
        <v>273</v>
      </c>
      <c r="E27" s="270" t="s">
        <v>274</v>
      </c>
      <c r="F27" s="271">
        <v>0</v>
      </c>
      <c r="G27" s="271">
        <v>0</v>
      </c>
      <c r="H27" s="263">
        <v>158824.79999999999</v>
      </c>
      <c r="I27" s="265" t="s">
        <v>282</v>
      </c>
      <c r="J27" s="265" t="s">
        <v>271</v>
      </c>
      <c r="K27" s="267" t="s">
        <v>291</v>
      </c>
    </row>
    <row r="28" spans="1:11" ht="90" x14ac:dyDescent="0.25">
      <c r="A28" s="266" t="s">
        <v>234</v>
      </c>
      <c r="B28" s="265" t="s">
        <v>275</v>
      </c>
      <c r="C28" s="268" t="s">
        <v>276</v>
      </c>
      <c r="D28" s="269" t="s">
        <v>277</v>
      </c>
      <c r="E28" s="270" t="s">
        <v>278</v>
      </c>
      <c r="F28" s="271">
        <v>0</v>
      </c>
      <c r="G28" s="271">
        <v>0</v>
      </c>
      <c r="H28" s="263">
        <v>442764.6</v>
      </c>
      <c r="I28" s="265" t="s">
        <v>282</v>
      </c>
      <c r="J28" s="265" t="s">
        <v>292</v>
      </c>
      <c r="K28" s="267" t="s">
        <v>293</v>
      </c>
    </row>
    <row r="29" spans="1:11" ht="61.5" customHeight="1" x14ac:dyDescent="0.25">
      <c r="A29" s="266" t="s">
        <v>235</v>
      </c>
      <c r="B29" s="265" t="s">
        <v>279</v>
      </c>
      <c r="C29" s="268" t="s">
        <v>32</v>
      </c>
      <c r="D29" s="269" t="s">
        <v>280</v>
      </c>
      <c r="E29" s="270" t="s">
        <v>281</v>
      </c>
      <c r="F29" s="271">
        <v>0.5</v>
      </c>
      <c r="G29" s="271">
        <v>1</v>
      </c>
      <c r="H29" s="263">
        <f>151240+63960</f>
        <v>215200</v>
      </c>
      <c r="I29" s="265" t="s">
        <v>282</v>
      </c>
      <c r="J29" s="265" t="s">
        <v>294</v>
      </c>
      <c r="K29" s="267" t="s">
        <v>285</v>
      </c>
    </row>
    <row r="30" spans="1:11" ht="61.5" customHeight="1" x14ac:dyDescent="0.25">
      <c r="A30" s="31" t="s">
        <v>229</v>
      </c>
      <c r="B30" s="2" t="s">
        <v>230</v>
      </c>
      <c r="C30" s="32" t="s">
        <v>164</v>
      </c>
      <c r="D30" s="33"/>
      <c r="E30" s="34"/>
      <c r="F30" s="180"/>
      <c r="G30" s="180"/>
      <c r="H30" s="66">
        <v>780</v>
      </c>
      <c r="I30" s="7" t="s">
        <v>230</v>
      </c>
      <c r="J30" s="2" t="s">
        <v>231</v>
      </c>
      <c r="K30" s="19" t="s">
        <v>232</v>
      </c>
    </row>
    <row r="31" spans="1:11" s="352" customFormat="1" ht="61.5" customHeight="1" x14ac:dyDescent="0.25">
      <c r="A31" s="358" t="s">
        <v>389</v>
      </c>
      <c r="B31" s="354" t="s">
        <v>422</v>
      </c>
      <c r="C31" s="285" t="s">
        <v>423</v>
      </c>
      <c r="D31" s="269" t="s">
        <v>424</v>
      </c>
      <c r="E31" s="270" t="s">
        <v>20</v>
      </c>
      <c r="F31" s="271">
        <v>0</v>
      </c>
      <c r="G31" s="271">
        <v>0</v>
      </c>
      <c r="H31" s="263">
        <v>245956.28</v>
      </c>
      <c r="I31" s="354" t="s">
        <v>282</v>
      </c>
      <c r="J31" s="354" t="s">
        <v>425</v>
      </c>
      <c r="K31" s="345" t="s">
        <v>284</v>
      </c>
    </row>
    <row r="32" spans="1:11" s="352" customFormat="1" ht="61.5" customHeight="1" x14ac:dyDescent="0.25">
      <c r="A32" s="358" t="s">
        <v>390</v>
      </c>
      <c r="B32" s="354" t="s">
        <v>426</v>
      </c>
      <c r="C32" s="285" t="s">
        <v>427</v>
      </c>
      <c r="D32" s="269" t="s">
        <v>428</v>
      </c>
      <c r="E32" s="270" t="s">
        <v>261</v>
      </c>
      <c r="F32" s="271">
        <v>0</v>
      </c>
      <c r="G32" s="271">
        <v>1</v>
      </c>
      <c r="H32" s="263">
        <v>101432.88</v>
      </c>
      <c r="I32" s="354" t="s">
        <v>282</v>
      </c>
      <c r="J32" s="354" t="s">
        <v>429</v>
      </c>
      <c r="K32" s="345" t="s">
        <v>285</v>
      </c>
    </row>
    <row r="33" spans="1:20" s="352" customFormat="1" ht="61.5" customHeight="1" x14ac:dyDescent="0.25">
      <c r="A33" s="358" t="s">
        <v>392</v>
      </c>
      <c r="B33" s="354" t="s">
        <v>430</v>
      </c>
      <c r="C33" s="285" t="s">
        <v>431</v>
      </c>
      <c r="D33" s="269" t="s">
        <v>432</v>
      </c>
      <c r="E33" s="270" t="s">
        <v>433</v>
      </c>
      <c r="F33" s="271">
        <v>0.1154</v>
      </c>
      <c r="G33" s="271">
        <v>0.30099999999999999</v>
      </c>
      <c r="H33" s="263">
        <f>646000+323000</f>
        <v>969000</v>
      </c>
      <c r="I33" s="354" t="s">
        <v>282</v>
      </c>
      <c r="J33" s="354" t="s">
        <v>434</v>
      </c>
      <c r="K33" s="345" t="s">
        <v>65</v>
      </c>
    </row>
    <row r="34" spans="1:20" ht="61.5" customHeight="1" x14ac:dyDescent="0.25">
      <c r="A34" s="358" t="s">
        <v>391</v>
      </c>
      <c r="B34" s="354" t="s">
        <v>415</v>
      </c>
      <c r="C34" s="369" t="s">
        <v>416</v>
      </c>
      <c r="D34" s="285" t="s">
        <v>31</v>
      </c>
      <c r="E34" s="270" t="s">
        <v>373</v>
      </c>
      <c r="F34" s="271"/>
      <c r="G34" s="271"/>
      <c r="H34" s="263">
        <v>398710.2</v>
      </c>
      <c r="I34" s="354" t="s">
        <v>158</v>
      </c>
      <c r="J34" s="354" t="s">
        <v>415</v>
      </c>
      <c r="K34" s="345" t="s">
        <v>247</v>
      </c>
    </row>
    <row r="35" spans="1:20" s="352" customFormat="1" ht="61.5" customHeight="1" x14ac:dyDescent="0.25">
      <c r="A35" s="358" t="s">
        <v>483</v>
      </c>
      <c r="B35" s="372" t="s">
        <v>504</v>
      </c>
      <c r="C35" s="386" t="s">
        <v>164</v>
      </c>
      <c r="D35" s="285"/>
      <c r="E35" s="270"/>
      <c r="F35" s="271">
        <v>0</v>
      </c>
      <c r="G35" s="271">
        <v>0</v>
      </c>
      <c r="H35" s="263">
        <v>897899.06</v>
      </c>
      <c r="I35" s="372" t="s">
        <v>282</v>
      </c>
      <c r="J35" s="372" t="s">
        <v>508</v>
      </c>
      <c r="K35" s="373" t="s">
        <v>36</v>
      </c>
    </row>
    <row r="36" spans="1:20" s="352" customFormat="1" ht="61.5" customHeight="1" x14ac:dyDescent="0.25">
      <c r="A36" s="358" t="s">
        <v>484</v>
      </c>
      <c r="B36" s="411" t="s">
        <v>569</v>
      </c>
      <c r="C36" s="420" t="s">
        <v>109</v>
      </c>
      <c r="D36" s="285" t="s">
        <v>141</v>
      </c>
      <c r="E36" s="270" t="s">
        <v>20</v>
      </c>
      <c r="F36" s="271">
        <v>0</v>
      </c>
      <c r="G36" s="271">
        <v>0</v>
      </c>
      <c r="H36" s="263">
        <f>1400+1044+980+470+1360+3314+880+5780+17325.54</f>
        <v>32553.54</v>
      </c>
      <c r="I36" s="411" t="s">
        <v>282</v>
      </c>
      <c r="J36" s="411" t="s">
        <v>570</v>
      </c>
      <c r="K36" s="397" t="s">
        <v>284</v>
      </c>
    </row>
    <row r="37" spans="1:20" s="352" customFormat="1" ht="90" x14ac:dyDescent="0.25">
      <c r="A37" s="358" t="s">
        <v>485</v>
      </c>
      <c r="B37" s="372" t="s">
        <v>505</v>
      </c>
      <c r="C37" s="358" t="s">
        <v>506</v>
      </c>
      <c r="D37" s="285" t="s">
        <v>141</v>
      </c>
      <c r="E37" s="270" t="s">
        <v>507</v>
      </c>
      <c r="F37" s="271">
        <v>0</v>
      </c>
      <c r="G37" s="271">
        <v>0</v>
      </c>
      <c r="H37" s="263">
        <f>92644.84+348038.31</f>
        <v>440683.15</v>
      </c>
      <c r="I37" s="372" t="s">
        <v>282</v>
      </c>
      <c r="J37" s="372" t="s">
        <v>509</v>
      </c>
      <c r="K37" s="373" t="s">
        <v>510</v>
      </c>
    </row>
    <row r="38" spans="1:20" s="352" customFormat="1" ht="61.5" customHeight="1" x14ac:dyDescent="0.25">
      <c r="A38" s="358" t="s">
        <v>548</v>
      </c>
      <c r="B38" s="411" t="s">
        <v>633</v>
      </c>
      <c r="C38" s="358" t="s">
        <v>506</v>
      </c>
      <c r="D38" s="285" t="s">
        <v>141</v>
      </c>
      <c r="E38" s="270" t="s">
        <v>331</v>
      </c>
      <c r="F38" s="271"/>
      <c r="G38" s="271"/>
      <c r="H38" s="263">
        <v>18200000</v>
      </c>
      <c r="I38" s="411" t="s">
        <v>282</v>
      </c>
      <c r="J38" s="411" t="s">
        <v>633</v>
      </c>
      <c r="K38" s="397" t="s">
        <v>634</v>
      </c>
    </row>
    <row r="39" spans="1:20" s="352" customFormat="1" ht="61.5" customHeight="1" x14ac:dyDescent="0.25">
      <c r="A39" s="358" t="s">
        <v>549</v>
      </c>
      <c r="B39" s="411" t="s">
        <v>571</v>
      </c>
      <c r="C39" s="358" t="s">
        <v>32</v>
      </c>
      <c r="D39" s="285" t="s">
        <v>364</v>
      </c>
      <c r="E39" s="270" t="s">
        <v>522</v>
      </c>
      <c r="F39" s="271">
        <v>0.11219999999999999</v>
      </c>
      <c r="G39" s="271">
        <v>0.32800000000000001</v>
      </c>
      <c r="H39" s="263">
        <v>2338793.62</v>
      </c>
      <c r="I39" s="411" t="s">
        <v>282</v>
      </c>
      <c r="J39" s="411" t="s">
        <v>572</v>
      </c>
      <c r="K39" s="397" t="s">
        <v>573</v>
      </c>
    </row>
    <row r="40" spans="1:20" s="352" customFormat="1" ht="61.5" customHeight="1" x14ac:dyDescent="0.25">
      <c r="A40" s="358" t="s">
        <v>550</v>
      </c>
      <c r="B40" s="411" t="s">
        <v>610</v>
      </c>
      <c r="C40" s="358" t="s">
        <v>164</v>
      </c>
      <c r="D40" s="285"/>
      <c r="E40" s="270"/>
      <c r="F40" s="271">
        <v>0</v>
      </c>
      <c r="G40" s="271">
        <v>1</v>
      </c>
      <c r="H40" s="263">
        <v>15390</v>
      </c>
      <c r="I40" s="411" t="s">
        <v>611</v>
      </c>
      <c r="J40" s="411" t="s">
        <v>612</v>
      </c>
      <c r="K40" s="397" t="s">
        <v>384</v>
      </c>
    </row>
    <row r="41" spans="1:20" s="352" customFormat="1" ht="61.5" customHeight="1" x14ac:dyDescent="0.25">
      <c r="A41" s="358" t="s">
        <v>551</v>
      </c>
      <c r="B41" s="411" t="s">
        <v>635</v>
      </c>
      <c r="C41" s="358" t="s">
        <v>109</v>
      </c>
      <c r="D41" s="285" t="s">
        <v>141</v>
      </c>
      <c r="E41" s="270" t="s">
        <v>20</v>
      </c>
      <c r="F41" s="271"/>
      <c r="G41" s="271"/>
      <c r="H41" s="263">
        <v>100614.28</v>
      </c>
      <c r="I41" s="411" t="s">
        <v>611</v>
      </c>
      <c r="J41" s="411" t="s">
        <v>636</v>
      </c>
      <c r="K41" s="397" t="s">
        <v>637</v>
      </c>
    </row>
    <row r="42" spans="1:20" s="65" customFormat="1" ht="180" x14ac:dyDescent="0.25">
      <c r="A42" s="3" t="s">
        <v>645</v>
      </c>
      <c r="B42" s="2" t="s">
        <v>670</v>
      </c>
      <c r="C42" s="3" t="s">
        <v>671</v>
      </c>
      <c r="D42" s="427">
        <v>42074</v>
      </c>
      <c r="E42" s="428" t="s">
        <v>672</v>
      </c>
      <c r="F42" s="429">
        <v>0</v>
      </c>
      <c r="G42" s="429"/>
      <c r="H42" s="430">
        <f>398288.64+64267.5+456013.68+158824.8+122642.34</f>
        <v>1200036.9600000002</v>
      </c>
      <c r="I42" s="2" t="s">
        <v>611</v>
      </c>
      <c r="J42" s="2" t="s">
        <v>673</v>
      </c>
      <c r="K42" s="1" t="s">
        <v>291</v>
      </c>
    </row>
    <row r="43" spans="1:20" s="352" customFormat="1" ht="54" x14ac:dyDescent="0.25">
      <c r="A43" s="358" t="s">
        <v>721</v>
      </c>
      <c r="B43" s="411" t="s">
        <v>731</v>
      </c>
      <c r="C43" s="358"/>
      <c r="D43" s="439"/>
      <c r="E43" s="270" t="s">
        <v>154</v>
      </c>
      <c r="F43" s="271">
        <v>7.8600000000000003E-2</v>
      </c>
      <c r="G43" s="271">
        <v>0.2893</v>
      </c>
      <c r="H43" s="263">
        <v>308527</v>
      </c>
      <c r="I43" s="411" t="s">
        <v>732</v>
      </c>
      <c r="J43" s="411" t="s">
        <v>733</v>
      </c>
      <c r="K43" s="397" t="s">
        <v>80</v>
      </c>
    </row>
    <row r="44" spans="1:20" s="352" customFormat="1" ht="54" x14ac:dyDescent="0.25">
      <c r="A44" s="358" t="s">
        <v>723</v>
      </c>
      <c r="B44" s="411" t="s">
        <v>734</v>
      </c>
      <c r="C44" s="358"/>
      <c r="D44" s="439"/>
      <c r="E44" s="270" t="s">
        <v>154</v>
      </c>
      <c r="F44" s="271">
        <v>0</v>
      </c>
      <c r="G44" s="271">
        <v>1</v>
      </c>
      <c r="H44" s="263">
        <v>168000</v>
      </c>
      <c r="I44" s="411" t="s">
        <v>735</v>
      </c>
      <c r="J44" s="411" t="s">
        <v>734</v>
      </c>
      <c r="K44" s="397" t="s">
        <v>736</v>
      </c>
    </row>
    <row r="45" spans="1:20" s="65" customFormat="1" ht="54" x14ac:dyDescent="0.25">
      <c r="A45" s="358" t="s">
        <v>722</v>
      </c>
      <c r="B45" s="411" t="s">
        <v>726</v>
      </c>
      <c r="C45" s="358" t="s">
        <v>727</v>
      </c>
      <c r="D45" s="439" t="s">
        <v>728</v>
      </c>
      <c r="E45" s="270" t="s">
        <v>530</v>
      </c>
      <c r="F45" s="271"/>
      <c r="G45" s="271"/>
      <c r="H45" s="263">
        <v>400000</v>
      </c>
      <c r="I45" s="411" t="s">
        <v>158</v>
      </c>
      <c r="J45" s="411" t="s">
        <v>729</v>
      </c>
      <c r="K45" s="397" t="s">
        <v>730</v>
      </c>
    </row>
    <row r="46" spans="1:20" s="38" customFormat="1" ht="61.5" customHeight="1" x14ac:dyDescent="0.25">
      <c r="A46" s="36" t="s">
        <v>6</v>
      </c>
      <c r="B46" s="2"/>
      <c r="C46" s="2"/>
      <c r="D46" s="2"/>
      <c r="E46" s="9"/>
      <c r="F46" s="1"/>
      <c r="G46" s="9"/>
      <c r="H46" s="75">
        <f>SUM(H15:H45)</f>
        <v>45834389.259999998</v>
      </c>
      <c r="I46" s="11"/>
      <c r="J46" s="11"/>
      <c r="K46" s="11"/>
      <c r="L46" s="23"/>
      <c r="M46" s="23"/>
      <c r="N46" s="23"/>
      <c r="O46" s="23"/>
      <c r="P46" s="23"/>
      <c r="Q46" s="23"/>
      <c r="R46" s="23"/>
      <c r="S46" s="23"/>
      <c r="T46" s="23"/>
    </row>
    <row r="47" spans="1:20" s="38" customFormat="1" ht="52.5" customHeight="1" x14ac:dyDescent="0.25">
      <c r="A47" s="459"/>
      <c r="B47" s="459"/>
      <c r="C47" s="459"/>
      <c r="D47" s="459"/>
      <c r="E47" s="459"/>
      <c r="F47" s="459"/>
      <c r="G47" s="459"/>
      <c r="H47" s="459"/>
      <c r="I47" s="459"/>
      <c r="J47" s="459"/>
      <c r="K47" s="459"/>
      <c r="L47" s="23"/>
      <c r="M47" s="23"/>
      <c r="N47" s="23"/>
      <c r="O47" s="23"/>
      <c r="P47" s="23"/>
      <c r="Q47" s="23"/>
      <c r="R47" s="23"/>
      <c r="S47" s="23"/>
      <c r="T47" s="23"/>
    </row>
    <row r="48" spans="1:20" s="38" customFormat="1" ht="46.5" customHeight="1" x14ac:dyDescent="0.25">
      <c r="A48" s="458" t="s">
        <v>84</v>
      </c>
      <c r="B48" s="458"/>
      <c r="C48" s="458"/>
      <c r="D48" s="458"/>
      <c r="E48" s="458"/>
      <c r="F48" s="458"/>
      <c r="G48" s="458"/>
      <c r="H48" s="458"/>
      <c r="I48" s="458"/>
      <c r="J48" s="458"/>
      <c r="K48" s="458"/>
      <c r="L48" s="23"/>
      <c r="M48" s="23"/>
      <c r="N48" s="23"/>
      <c r="O48" s="23"/>
      <c r="P48" s="23"/>
      <c r="Q48" s="23"/>
      <c r="R48" s="23"/>
      <c r="S48" s="23"/>
      <c r="T48" s="23"/>
    </row>
    <row r="49" spans="1:20" s="38" customFormat="1" ht="61.5" customHeight="1" x14ac:dyDescent="0.25">
      <c r="A49" s="150" t="s">
        <v>0</v>
      </c>
      <c r="B49" s="150" t="s">
        <v>1</v>
      </c>
      <c r="C49" s="149" t="s">
        <v>12</v>
      </c>
      <c r="D49" s="149" t="s">
        <v>13</v>
      </c>
      <c r="E49" s="150" t="s">
        <v>2</v>
      </c>
      <c r="F49" s="151" t="s">
        <v>3</v>
      </c>
      <c r="G49" s="150" t="s">
        <v>4</v>
      </c>
      <c r="H49" s="75" t="s">
        <v>7</v>
      </c>
      <c r="I49" s="149" t="s">
        <v>14</v>
      </c>
      <c r="J49" s="149" t="s">
        <v>10</v>
      </c>
      <c r="K49" s="149" t="s">
        <v>9</v>
      </c>
      <c r="L49" s="23"/>
      <c r="M49" s="23"/>
      <c r="N49" s="23"/>
      <c r="O49" s="23"/>
      <c r="P49" s="23"/>
      <c r="Q49" s="23"/>
      <c r="R49" s="23"/>
      <c r="S49" s="23"/>
      <c r="T49" s="23"/>
    </row>
    <row r="50" spans="1:20" s="38" customFormat="1" ht="61.5" customHeight="1" x14ac:dyDescent="0.25">
      <c r="A50" s="18"/>
      <c r="B50" s="24"/>
      <c r="C50" s="76"/>
      <c r="D50" s="76"/>
      <c r="E50" s="25"/>
      <c r="F50" s="6"/>
      <c r="G50" s="6"/>
      <c r="H50" s="71">
        <v>0</v>
      </c>
      <c r="I50" s="2"/>
      <c r="J50" s="11"/>
      <c r="K50" s="11"/>
      <c r="L50" s="23"/>
      <c r="M50" s="23"/>
      <c r="N50" s="23"/>
      <c r="O50" s="23"/>
      <c r="P50" s="23"/>
      <c r="Q50" s="23"/>
      <c r="R50" s="23"/>
      <c r="S50" s="23"/>
      <c r="T50" s="23"/>
    </row>
    <row r="51" spans="1:20" s="35" customFormat="1" ht="61.5" customHeight="1" x14ac:dyDescent="0.25">
      <c r="A51" s="18"/>
      <c r="B51" s="7"/>
      <c r="C51" s="76"/>
      <c r="D51" s="76"/>
      <c r="E51" s="25"/>
      <c r="F51" s="6"/>
      <c r="G51" s="6"/>
      <c r="H51" s="71">
        <v>0</v>
      </c>
      <c r="I51" s="78"/>
      <c r="J51" s="7"/>
      <c r="K51" s="7"/>
    </row>
    <row r="52" spans="1:20" s="38" customFormat="1" ht="61.5" customHeight="1" x14ac:dyDescent="0.25">
      <c r="A52" s="43"/>
      <c r="B52" s="11"/>
      <c r="C52" s="11"/>
      <c r="D52" s="11"/>
      <c r="E52" s="5"/>
      <c r="F52" s="44"/>
      <c r="G52" s="44"/>
      <c r="H52" s="75">
        <f>SUM(H50:H51)</f>
        <v>0</v>
      </c>
      <c r="I52" s="11"/>
      <c r="J52" s="11"/>
      <c r="K52" s="30"/>
      <c r="L52" s="23"/>
      <c r="M52" s="23"/>
      <c r="N52" s="23"/>
      <c r="O52" s="23"/>
      <c r="P52" s="23"/>
      <c r="Q52" s="23"/>
      <c r="R52" s="23"/>
      <c r="S52" s="23"/>
      <c r="T52" s="23"/>
    </row>
    <row r="53" spans="1:20" s="38" customFormat="1" ht="61.5" customHeight="1" x14ac:dyDescent="0.25">
      <c r="A53" s="460"/>
      <c r="B53" s="460"/>
      <c r="C53" s="460"/>
      <c r="D53" s="460"/>
      <c r="E53" s="460"/>
      <c r="F53" s="460"/>
      <c r="G53" s="460"/>
      <c r="H53" s="460"/>
      <c r="I53" s="460"/>
      <c r="J53" s="460"/>
      <c r="K53" s="460"/>
      <c r="L53" s="23"/>
      <c r="M53" s="23"/>
      <c r="N53" s="23"/>
      <c r="O53" s="23"/>
      <c r="P53" s="23"/>
      <c r="Q53" s="23"/>
      <c r="R53" s="23"/>
      <c r="S53" s="23"/>
      <c r="T53" s="23"/>
    </row>
    <row r="54" spans="1:20" s="38" customFormat="1" ht="39" customHeight="1" x14ac:dyDescent="0.25">
      <c r="A54" s="456" t="s">
        <v>85</v>
      </c>
      <c r="B54" s="456"/>
      <c r="C54" s="456"/>
      <c r="D54" s="456"/>
      <c r="E54" s="456"/>
      <c r="F54" s="456"/>
      <c r="G54" s="456"/>
      <c r="H54" s="456"/>
      <c r="I54" s="456"/>
      <c r="J54" s="456"/>
      <c r="K54" s="456"/>
      <c r="L54" s="23"/>
      <c r="M54" s="23"/>
      <c r="N54" s="23"/>
      <c r="O54" s="23"/>
      <c r="P54" s="23"/>
      <c r="Q54" s="23"/>
      <c r="R54" s="23"/>
      <c r="S54" s="23"/>
      <c r="T54" s="23"/>
    </row>
    <row r="55" spans="1:20" s="38" customFormat="1" ht="61.5" customHeight="1" x14ac:dyDescent="0.25">
      <c r="A55" s="150" t="s">
        <v>0</v>
      </c>
      <c r="B55" s="150" t="s">
        <v>1</v>
      </c>
      <c r="C55" s="149" t="s">
        <v>12</v>
      </c>
      <c r="D55" s="149" t="s">
        <v>13</v>
      </c>
      <c r="E55" s="150" t="s">
        <v>2</v>
      </c>
      <c r="F55" s="151" t="s">
        <v>3</v>
      </c>
      <c r="G55" s="150" t="s">
        <v>4</v>
      </c>
      <c r="H55" s="75" t="s">
        <v>7</v>
      </c>
      <c r="I55" s="149" t="s">
        <v>14</v>
      </c>
      <c r="J55" s="149" t="s">
        <v>10</v>
      </c>
      <c r="K55" s="149" t="s">
        <v>9</v>
      </c>
      <c r="L55" s="23"/>
      <c r="M55" s="23"/>
      <c r="N55" s="23"/>
      <c r="O55" s="23"/>
      <c r="P55" s="23"/>
      <c r="Q55" s="23"/>
      <c r="R55" s="23"/>
      <c r="S55" s="23"/>
      <c r="T55" s="23"/>
    </row>
    <row r="56" spans="1:20" s="38" customFormat="1" ht="61.5" customHeight="1" x14ac:dyDescent="0.25">
      <c r="A56" s="31"/>
      <c r="B56" s="138"/>
      <c r="C56" s="80"/>
      <c r="D56" s="80"/>
      <c r="E56" s="16"/>
      <c r="F56" s="6"/>
      <c r="G56" s="6"/>
      <c r="H56" s="79">
        <v>0</v>
      </c>
      <c r="I56" s="2"/>
      <c r="J56" s="138"/>
      <c r="K56" s="2"/>
      <c r="L56" s="23"/>
      <c r="M56" s="23"/>
      <c r="N56" s="23"/>
      <c r="O56" s="23"/>
      <c r="P56" s="23"/>
      <c r="Q56" s="23"/>
      <c r="R56" s="23"/>
      <c r="S56" s="23"/>
      <c r="T56" s="23"/>
    </row>
    <row r="57" spans="1:20" s="38" customFormat="1" ht="61.5" customHeight="1" x14ac:dyDescent="0.25">
      <c r="A57" s="3"/>
      <c r="B57" s="138"/>
      <c r="C57" s="80"/>
      <c r="D57" s="80"/>
      <c r="E57" s="16"/>
      <c r="F57" s="6"/>
      <c r="G57" s="6"/>
      <c r="H57" s="14">
        <v>0</v>
      </c>
      <c r="I57" s="2"/>
      <c r="J57" s="138"/>
      <c r="K57" s="2"/>
      <c r="L57" s="23"/>
      <c r="M57" s="23"/>
      <c r="N57" s="23"/>
      <c r="O57" s="23"/>
      <c r="P57" s="23"/>
      <c r="Q57" s="23"/>
      <c r="R57" s="23"/>
      <c r="S57" s="23"/>
      <c r="T57" s="23"/>
    </row>
    <row r="58" spans="1:20" s="46" customFormat="1" ht="49.5" customHeight="1" x14ac:dyDescent="0.25">
      <c r="A58" s="45" t="s">
        <v>6</v>
      </c>
      <c r="B58" s="30"/>
      <c r="C58" s="30"/>
      <c r="D58" s="30"/>
      <c r="E58" s="40"/>
      <c r="F58" s="45"/>
      <c r="G58" s="40"/>
      <c r="H58" s="82">
        <f>SUM(H56:H57)</f>
        <v>0</v>
      </c>
      <c r="I58" s="11"/>
      <c r="J58" s="11"/>
      <c r="K58" s="11"/>
      <c r="L58" s="83"/>
      <c r="M58" s="83"/>
      <c r="N58" s="83"/>
      <c r="O58" s="83"/>
      <c r="P58" s="83"/>
      <c r="Q58" s="83"/>
      <c r="R58" s="83"/>
      <c r="S58" s="83"/>
      <c r="T58" s="83"/>
    </row>
    <row r="59" spans="1:20" s="46" customFormat="1" ht="29.1" customHeight="1" x14ac:dyDescent="0.25">
      <c r="A59" s="456"/>
      <c r="B59" s="456"/>
      <c r="C59" s="456"/>
      <c r="D59" s="456"/>
      <c r="E59" s="456"/>
      <c r="F59" s="456"/>
      <c r="G59" s="456"/>
      <c r="H59" s="456"/>
      <c r="I59" s="456"/>
      <c r="J59" s="456"/>
      <c r="K59" s="456"/>
      <c r="L59" s="83"/>
      <c r="M59" s="83"/>
      <c r="N59" s="83"/>
      <c r="O59" s="83"/>
      <c r="P59" s="83"/>
      <c r="Q59" s="83"/>
      <c r="R59" s="83"/>
      <c r="S59" s="83"/>
      <c r="T59" s="83"/>
    </row>
    <row r="60" spans="1:20" s="46" customFormat="1" ht="32.25" customHeight="1" x14ac:dyDescent="0.25">
      <c r="A60" s="450" t="s">
        <v>17</v>
      </c>
      <c r="B60" s="450"/>
      <c r="C60" s="450"/>
      <c r="D60" s="450"/>
      <c r="E60" s="450"/>
      <c r="F60" s="450"/>
      <c r="G60" s="450"/>
      <c r="H60" s="450"/>
      <c r="I60" s="450"/>
      <c r="J60" s="450"/>
      <c r="K60" s="450"/>
      <c r="L60" s="83"/>
      <c r="M60" s="83"/>
      <c r="N60" s="83"/>
      <c r="O60" s="83"/>
      <c r="P60" s="83"/>
      <c r="Q60" s="83"/>
      <c r="R60" s="83"/>
      <c r="S60" s="83"/>
      <c r="T60" s="83"/>
    </row>
    <row r="61" spans="1:20" s="46" customFormat="1" ht="51" customHeight="1" x14ac:dyDescent="0.25">
      <c r="A61" s="150" t="s">
        <v>0</v>
      </c>
      <c r="B61" s="150" t="s">
        <v>1</v>
      </c>
      <c r="C61" s="149" t="s">
        <v>12</v>
      </c>
      <c r="D61" s="149" t="s">
        <v>13</v>
      </c>
      <c r="E61" s="150" t="s">
        <v>2</v>
      </c>
      <c r="F61" s="151" t="s">
        <v>3</v>
      </c>
      <c r="G61" s="150" t="s">
        <v>4</v>
      </c>
      <c r="H61" s="75" t="s">
        <v>7</v>
      </c>
      <c r="I61" s="149" t="s">
        <v>14</v>
      </c>
      <c r="J61" s="149" t="s">
        <v>10</v>
      </c>
      <c r="K61" s="149" t="s">
        <v>9</v>
      </c>
      <c r="L61" s="83"/>
      <c r="M61" s="83"/>
      <c r="N61" s="83"/>
      <c r="O61" s="83"/>
      <c r="P61" s="83"/>
      <c r="Q61" s="83"/>
      <c r="R61" s="83"/>
      <c r="S61" s="83"/>
      <c r="T61" s="83"/>
    </row>
    <row r="62" spans="1:20" s="83" customFormat="1" ht="54" x14ac:dyDescent="0.25">
      <c r="A62" s="31" t="s">
        <v>142</v>
      </c>
      <c r="B62" s="2" t="s">
        <v>167</v>
      </c>
      <c r="C62" s="32" t="s">
        <v>164</v>
      </c>
      <c r="D62" s="33"/>
      <c r="E62" s="34"/>
      <c r="F62" s="180">
        <v>0</v>
      </c>
      <c r="G62" s="180">
        <v>0</v>
      </c>
      <c r="H62" s="66">
        <v>68238.75</v>
      </c>
      <c r="I62" s="7" t="s">
        <v>22</v>
      </c>
      <c r="J62" s="2" t="s">
        <v>168</v>
      </c>
      <c r="K62" s="19" t="s">
        <v>169</v>
      </c>
    </row>
    <row r="63" spans="1:20" s="83" customFormat="1" ht="44.25" customHeight="1" x14ac:dyDescent="0.25">
      <c r="A63" s="2" t="s">
        <v>26</v>
      </c>
      <c r="B63" s="2" t="s">
        <v>27</v>
      </c>
      <c r="C63" s="1" t="s">
        <v>109</v>
      </c>
      <c r="D63" s="1" t="s">
        <v>141</v>
      </c>
      <c r="E63" s="9" t="s">
        <v>20</v>
      </c>
      <c r="F63" s="10"/>
      <c r="G63" s="10"/>
      <c r="H63" s="12">
        <f>57.57+88.92+237.9-237.9+301.42</f>
        <v>447.90999999999997</v>
      </c>
      <c r="I63" s="2" t="s">
        <v>22</v>
      </c>
      <c r="J63" s="2" t="s">
        <v>27</v>
      </c>
      <c r="K63" s="19" t="s">
        <v>169</v>
      </c>
    </row>
    <row r="64" spans="1:20" s="83" customFormat="1" ht="44.25" customHeight="1" x14ac:dyDescent="0.25">
      <c r="A64" s="2" t="s">
        <v>388</v>
      </c>
      <c r="B64" s="2" t="s">
        <v>27</v>
      </c>
      <c r="C64" s="1" t="s">
        <v>109</v>
      </c>
      <c r="D64" s="1" t="s">
        <v>141</v>
      </c>
      <c r="E64" s="9" t="s">
        <v>20</v>
      </c>
      <c r="F64" s="10"/>
      <c r="G64" s="10"/>
      <c r="H64" s="355">
        <f>66751.6+52677.6+54273.6</f>
        <v>173702.80000000002</v>
      </c>
      <c r="I64" s="2" t="s">
        <v>22</v>
      </c>
      <c r="J64" s="2" t="s">
        <v>27</v>
      </c>
      <c r="K64" s="19" t="s">
        <v>169</v>
      </c>
    </row>
    <row r="65" spans="1:20" s="38" customFormat="1" ht="46.5" customHeight="1" x14ac:dyDescent="0.25">
      <c r="A65" s="45" t="s">
        <v>6</v>
      </c>
      <c r="B65" s="11"/>
      <c r="C65" s="11"/>
      <c r="D65" s="11"/>
      <c r="E65" s="5"/>
      <c r="F65" s="19"/>
      <c r="G65" s="5"/>
      <c r="H65" s="75">
        <f>SUM(H62:H64)</f>
        <v>242389.46000000002</v>
      </c>
      <c r="I65" s="11"/>
      <c r="J65" s="11"/>
      <c r="K65" s="11"/>
      <c r="L65" s="23"/>
      <c r="M65" s="23"/>
      <c r="N65" s="23"/>
      <c r="O65" s="23"/>
      <c r="P65" s="23"/>
      <c r="Q65" s="23"/>
      <c r="R65" s="23"/>
      <c r="S65" s="23"/>
      <c r="T65" s="23"/>
    </row>
    <row r="66" spans="1:20" s="38" customFormat="1" ht="29.1" customHeight="1" x14ac:dyDescent="0.25">
      <c r="A66" s="46"/>
      <c r="B66" s="39"/>
      <c r="C66" s="39"/>
      <c r="D66" s="39"/>
      <c r="E66" s="49"/>
      <c r="F66" s="50"/>
      <c r="G66" s="49"/>
      <c r="H66" s="51"/>
      <c r="I66" s="39"/>
      <c r="J66" s="39"/>
      <c r="K66" s="39"/>
      <c r="L66" s="23"/>
      <c r="M66" s="23"/>
      <c r="N66" s="23"/>
      <c r="O66" s="23"/>
      <c r="P66" s="23"/>
      <c r="Q66" s="23"/>
      <c r="R66" s="23"/>
      <c r="S66" s="23"/>
      <c r="T66" s="23"/>
    </row>
    <row r="67" spans="1:20" s="38" customFormat="1" ht="48.75" customHeight="1" x14ac:dyDescent="0.25">
      <c r="A67" s="456"/>
      <c r="B67" s="456"/>
      <c r="C67" s="456"/>
      <c r="D67" s="456"/>
      <c r="E67" s="456"/>
      <c r="F67" s="456"/>
      <c r="G67" s="456"/>
      <c r="H67" s="456"/>
      <c r="I67" s="456"/>
      <c r="J67" s="456"/>
      <c r="K67" s="456"/>
      <c r="L67" s="23"/>
      <c r="M67" s="23"/>
      <c r="N67" s="23"/>
      <c r="O67" s="23"/>
      <c r="P67" s="23"/>
      <c r="Q67" s="23"/>
      <c r="R67" s="23"/>
      <c r="S67" s="23"/>
      <c r="T67" s="23"/>
    </row>
    <row r="68" spans="1:20" s="52" customFormat="1" ht="49.5" customHeight="1" x14ac:dyDescent="0.25">
      <c r="A68" s="452" t="s">
        <v>18</v>
      </c>
      <c r="B68" s="452"/>
      <c r="C68" s="452"/>
      <c r="D68" s="452"/>
      <c r="E68" s="452"/>
      <c r="F68" s="452"/>
      <c r="G68" s="452"/>
      <c r="H68" s="452"/>
      <c r="I68" s="452"/>
      <c r="J68" s="452"/>
      <c r="K68" s="452"/>
      <c r="L68" s="84"/>
      <c r="M68" s="84"/>
      <c r="N68" s="84"/>
      <c r="O68" s="84"/>
      <c r="P68" s="84"/>
      <c r="Q68" s="84"/>
      <c r="R68" s="84"/>
      <c r="S68" s="84"/>
      <c r="T68" s="84"/>
    </row>
    <row r="69" spans="1:20" s="38" customFormat="1" ht="52.5" customHeight="1" x14ac:dyDescent="0.25">
      <c r="A69" s="150" t="s">
        <v>0</v>
      </c>
      <c r="B69" s="150" t="s">
        <v>1</v>
      </c>
      <c r="C69" s="149" t="s">
        <v>12</v>
      </c>
      <c r="D69" s="149" t="s">
        <v>13</v>
      </c>
      <c r="E69" s="150" t="s">
        <v>2</v>
      </c>
      <c r="F69" s="151" t="s">
        <v>3</v>
      </c>
      <c r="G69" s="150" t="s">
        <v>4</v>
      </c>
      <c r="H69" s="75" t="s">
        <v>7</v>
      </c>
      <c r="I69" s="149" t="s">
        <v>14</v>
      </c>
      <c r="J69" s="149" t="s">
        <v>10</v>
      </c>
      <c r="K69" s="149" t="s">
        <v>9</v>
      </c>
      <c r="L69" s="23"/>
      <c r="M69" s="23"/>
      <c r="N69" s="23"/>
      <c r="O69" s="23"/>
      <c r="P69" s="23"/>
      <c r="Q69" s="23"/>
      <c r="R69" s="23"/>
      <c r="S69" s="23"/>
      <c r="T69" s="23"/>
    </row>
    <row r="70" spans="1:20" s="38" customFormat="1" ht="52.5" customHeight="1" x14ac:dyDescent="0.25">
      <c r="A70" s="18" t="s">
        <v>143</v>
      </c>
      <c r="B70" s="7" t="s">
        <v>41</v>
      </c>
      <c r="C70" s="139" t="s">
        <v>154</v>
      </c>
      <c r="D70" s="140"/>
      <c r="E70" s="141"/>
      <c r="F70" s="183">
        <v>0</v>
      </c>
      <c r="G70" s="183">
        <v>0</v>
      </c>
      <c r="H70" s="259">
        <v>3349.53</v>
      </c>
      <c r="I70" s="7" t="s">
        <v>42</v>
      </c>
      <c r="J70" s="7" t="s">
        <v>161</v>
      </c>
      <c r="K70" s="22" t="s">
        <v>162</v>
      </c>
      <c r="L70" s="23"/>
      <c r="M70" s="23"/>
      <c r="N70" s="23"/>
      <c r="O70" s="23"/>
      <c r="P70" s="23"/>
      <c r="Q70" s="23"/>
      <c r="R70" s="23"/>
      <c r="S70" s="23"/>
      <c r="T70" s="23"/>
    </row>
    <row r="71" spans="1:20" s="38" customFormat="1" ht="52.5" customHeight="1" x14ac:dyDescent="0.25">
      <c r="A71" s="18" t="s">
        <v>33</v>
      </c>
      <c r="B71" s="7" t="s">
        <v>41</v>
      </c>
      <c r="C71" s="139" t="s">
        <v>109</v>
      </c>
      <c r="D71" s="140" t="s">
        <v>141</v>
      </c>
      <c r="E71" s="141" t="s">
        <v>20</v>
      </c>
      <c r="F71" s="183">
        <v>0</v>
      </c>
      <c r="G71" s="183">
        <v>0</v>
      </c>
      <c r="H71" s="259">
        <f>5907.02+18696+443.95+20155.2</f>
        <v>45202.17</v>
      </c>
      <c r="I71" s="7" t="s">
        <v>42</v>
      </c>
      <c r="J71" s="7" t="s">
        <v>43</v>
      </c>
      <c r="K71" s="22" t="s">
        <v>44</v>
      </c>
      <c r="L71" s="23"/>
      <c r="M71" s="23"/>
      <c r="N71" s="23"/>
      <c r="O71" s="23"/>
      <c r="P71" s="23"/>
      <c r="Q71" s="23"/>
      <c r="R71" s="23"/>
      <c r="S71" s="23"/>
      <c r="T71" s="23"/>
    </row>
    <row r="72" spans="1:20" s="72" customFormat="1" ht="45.75" customHeight="1" x14ac:dyDescent="0.25">
      <c r="A72" s="31" t="s">
        <v>54</v>
      </c>
      <c r="B72" s="2" t="s">
        <v>41</v>
      </c>
      <c r="C72" s="32" t="s">
        <v>109</v>
      </c>
      <c r="D72" s="33" t="s">
        <v>141</v>
      </c>
      <c r="E72" s="34" t="s">
        <v>20</v>
      </c>
      <c r="F72" s="180">
        <v>0</v>
      </c>
      <c r="G72" s="180">
        <v>0</v>
      </c>
      <c r="H72" s="260">
        <v>1914.52</v>
      </c>
      <c r="I72" s="7" t="s">
        <v>42</v>
      </c>
      <c r="J72" s="7" t="s">
        <v>59</v>
      </c>
      <c r="K72" s="19" t="s">
        <v>60</v>
      </c>
    </row>
    <row r="73" spans="1:20" s="72" customFormat="1" ht="45.75" customHeight="1" x14ac:dyDescent="0.25">
      <c r="A73" s="31" t="s">
        <v>76</v>
      </c>
      <c r="B73" s="2" t="s">
        <v>170</v>
      </c>
      <c r="C73" s="32" t="s">
        <v>154</v>
      </c>
      <c r="D73" s="33"/>
      <c r="E73" s="34"/>
      <c r="F73" s="179"/>
      <c r="G73" s="180"/>
      <c r="H73" s="260">
        <v>7104.15</v>
      </c>
      <c r="I73" s="7" t="s">
        <v>171</v>
      </c>
      <c r="J73" s="2" t="s">
        <v>172</v>
      </c>
      <c r="K73" s="19" t="s">
        <v>173</v>
      </c>
    </row>
    <row r="74" spans="1:20" s="72" customFormat="1" ht="45.75" customHeight="1" x14ac:dyDescent="0.25">
      <c r="A74" s="31" t="s">
        <v>144</v>
      </c>
      <c r="B74" s="2" t="s">
        <v>153</v>
      </c>
      <c r="C74" s="32" t="s">
        <v>154</v>
      </c>
      <c r="D74" s="33"/>
      <c r="E74" s="34"/>
      <c r="F74" s="180">
        <v>0</v>
      </c>
      <c r="G74" s="180">
        <v>0</v>
      </c>
      <c r="H74" s="260">
        <v>7850</v>
      </c>
      <c r="I74" s="7" t="s">
        <v>155</v>
      </c>
      <c r="J74" s="2" t="s">
        <v>156</v>
      </c>
      <c r="K74" s="19" t="s">
        <v>157</v>
      </c>
    </row>
    <row r="75" spans="1:20" s="72" customFormat="1" ht="48.75" customHeight="1" x14ac:dyDescent="0.25">
      <c r="A75" s="8" t="s">
        <v>145</v>
      </c>
      <c r="B75" s="8" t="s">
        <v>145</v>
      </c>
      <c r="C75" s="42" t="s">
        <v>109</v>
      </c>
      <c r="D75" s="42" t="s">
        <v>141</v>
      </c>
      <c r="E75" s="9"/>
      <c r="F75" s="181"/>
      <c r="G75" s="181"/>
      <c r="H75" s="261">
        <f>9793.95+1200+450+1500+1378.6+6468+1200+825+500+750+1200+1450+1200+950+1350+4500+1600+1200+431.5+1000+2000+1420</f>
        <v>42367.05</v>
      </c>
      <c r="I75" s="1" t="s">
        <v>69</v>
      </c>
      <c r="J75" s="8" t="s">
        <v>146</v>
      </c>
      <c r="K75" s="2" t="s">
        <v>65</v>
      </c>
    </row>
    <row r="76" spans="1:20" s="348" customFormat="1" ht="48.75" customHeight="1" x14ac:dyDescent="0.25">
      <c r="A76" s="346" t="s">
        <v>248</v>
      </c>
      <c r="B76" s="346" t="s">
        <v>381</v>
      </c>
      <c r="C76" s="350" t="s">
        <v>154</v>
      </c>
      <c r="D76" s="350"/>
      <c r="E76" s="347"/>
      <c r="F76" s="351"/>
      <c r="G76" s="351"/>
      <c r="H76" s="349">
        <f>13665.2</f>
        <v>13665.2</v>
      </c>
      <c r="I76" s="345" t="s">
        <v>382</v>
      </c>
      <c r="J76" s="346" t="s">
        <v>383</v>
      </c>
      <c r="K76" s="344" t="s">
        <v>384</v>
      </c>
    </row>
    <row r="77" spans="1:20" s="72" customFormat="1" ht="54" x14ac:dyDescent="0.25">
      <c r="A77" s="276" t="s">
        <v>179</v>
      </c>
      <c r="B77" s="276" t="s">
        <v>295</v>
      </c>
      <c r="C77" s="279" t="s">
        <v>154</v>
      </c>
      <c r="D77" s="279"/>
      <c r="E77" s="277"/>
      <c r="F77" s="262">
        <v>0</v>
      </c>
      <c r="G77" s="262">
        <v>0</v>
      </c>
      <c r="H77" s="278">
        <f>18262+562.5+20469.67+41747.05+20090+17962.5</f>
        <v>119093.72</v>
      </c>
      <c r="I77" s="275" t="s">
        <v>303</v>
      </c>
      <c r="J77" s="276" t="s">
        <v>304</v>
      </c>
      <c r="K77" s="273" t="s">
        <v>305</v>
      </c>
    </row>
    <row r="78" spans="1:20" s="72" customFormat="1" ht="48.75" customHeight="1" x14ac:dyDescent="0.25">
      <c r="A78" s="276" t="s">
        <v>180</v>
      </c>
      <c r="B78" s="276" t="s">
        <v>296</v>
      </c>
      <c r="C78" s="279" t="s">
        <v>154</v>
      </c>
      <c r="D78" s="279"/>
      <c r="E78" s="277"/>
      <c r="F78" s="262">
        <v>0</v>
      </c>
      <c r="G78" s="262">
        <v>0</v>
      </c>
      <c r="H78" s="278">
        <f>28500+22800</f>
        <v>51300</v>
      </c>
      <c r="I78" s="275" t="s">
        <v>306</v>
      </c>
      <c r="J78" s="276" t="s">
        <v>296</v>
      </c>
      <c r="K78" s="273" t="s">
        <v>307</v>
      </c>
    </row>
    <row r="79" spans="1:20" s="72" customFormat="1" ht="48.75" customHeight="1" x14ac:dyDescent="0.25">
      <c r="A79" s="274" t="s">
        <v>181</v>
      </c>
      <c r="B79" s="276" t="s">
        <v>297</v>
      </c>
      <c r="C79" s="279" t="s">
        <v>154</v>
      </c>
      <c r="D79" s="279"/>
      <c r="E79" s="277"/>
      <c r="F79" s="262">
        <v>0</v>
      </c>
      <c r="G79" s="262">
        <v>1.35E-2</v>
      </c>
      <c r="H79" s="278">
        <f>52987.2+37620</f>
        <v>90607.2</v>
      </c>
      <c r="I79" s="275" t="s">
        <v>303</v>
      </c>
      <c r="J79" s="276" t="s">
        <v>308</v>
      </c>
      <c r="K79" s="273" t="s">
        <v>309</v>
      </c>
    </row>
    <row r="80" spans="1:20" s="72" customFormat="1" ht="48.75" customHeight="1" x14ac:dyDescent="0.25">
      <c r="A80" s="274" t="s">
        <v>249</v>
      </c>
      <c r="B80" s="276" t="s">
        <v>298</v>
      </c>
      <c r="C80" s="279" t="s">
        <v>32</v>
      </c>
      <c r="D80" s="279" t="s">
        <v>31</v>
      </c>
      <c r="E80" s="277" t="s">
        <v>299</v>
      </c>
      <c r="F80" s="262">
        <v>0</v>
      </c>
      <c r="G80" s="262">
        <v>0</v>
      </c>
      <c r="H80" s="278">
        <f>162115.2+37411.2</f>
        <v>199526.40000000002</v>
      </c>
      <c r="I80" s="275" t="s">
        <v>239</v>
      </c>
      <c r="J80" s="276" t="s">
        <v>298</v>
      </c>
      <c r="K80" s="354" t="s">
        <v>310</v>
      </c>
    </row>
    <row r="81" spans="1:11" s="72" customFormat="1" ht="48.75" customHeight="1" x14ac:dyDescent="0.25">
      <c r="A81" s="274" t="s">
        <v>250</v>
      </c>
      <c r="B81" s="276" t="s">
        <v>300</v>
      </c>
      <c r="C81" s="279" t="s">
        <v>301</v>
      </c>
      <c r="D81" s="279" t="s">
        <v>302</v>
      </c>
      <c r="E81" s="277" t="s">
        <v>281</v>
      </c>
      <c r="F81" s="262">
        <v>0</v>
      </c>
      <c r="G81" s="262">
        <v>0</v>
      </c>
      <c r="H81" s="278">
        <f>21432+825+10032+10032+1100+10032*2</f>
        <v>63485</v>
      </c>
      <c r="I81" s="275" t="s">
        <v>239</v>
      </c>
      <c r="J81" s="276" t="s">
        <v>407</v>
      </c>
      <c r="K81" s="273" t="s">
        <v>310</v>
      </c>
    </row>
    <row r="82" spans="1:11" s="72" customFormat="1" ht="48.75" customHeight="1" x14ac:dyDescent="0.25">
      <c r="A82" s="8" t="s">
        <v>236</v>
      </c>
      <c r="B82" s="8" t="s">
        <v>187</v>
      </c>
      <c r="C82" s="42" t="s">
        <v>154</v>
      </c>
      <c r="D82" s="42"/>
      <c r="E82" s="9"/>
      <c r="F82" s="181"/>
      <c r="G82" s="181"/>
      <c r="H82" s="261">
        <f>462.1+809.5+172</f>
        <v>1443.6</v>
      </c>
      <c r="I82" s="1" t="s">
        <v>187</v>
      </c>
      <c r="J82" s="8" t="s">
        <v>189</v>
      </c>
      <c r="K82" s="354" t="s">
        <v>310</v>
      </c>
    </row>
    <row r="83" spans="1:11" s="72" customFormat="1" ht="48.75" customHeight="1" x14ac:dyDescent="0.25">
      <c r="A83" s="8" t="s">
        <v>237</v>
      </c>
      <c r="B83" s="8" t="s">
        <v>238</v>
      </c>
      <c r="C83" s="42" t="s">
        <v>154</v>
      </c>
      <c r="D83" s="42"/>
      <c r="E83" s="9"/>
      <c r="F83" s="181"/>
      <c r="G83" s="181"/>
      <c r="H83" s="261">
        <v>1500</v>
      </c>
      <c r="I83" s="1" t="s">
        <v>239</v>
      </c>
      <c r="J83" s="8" t="s">
        <v>240</v>
      </c>
      <c r="K83" s="2" t="s">
        <v>241</v>
      </c>
    </row>
    <row r="84" spans="1:11" s="72" customFormat="1" ht="48.75" customHeight="1" x14ac:dyDescent="0.25">
      <c r="A84" s="8" t="s">
        <v>242</v>
      </c>
      <c r="B84" s="8" t="s">
        <v>243</v>
      </c>
      <c r="C84" s="42" t="s">
        <v>154</v>
      </c>
      <c r="D84" s="42"/>
      <c r="E84" s="9"/>
      <c r="F84" s="181"/>
      <c r="G84" s="181"/>
      <c r="H84" s="261">
        <v>1500</v>
      </c>
      <c r="I84" s="1" t="s">
        <v>239</v>
      </c>
      <c r="J84" s="8" t="s">
        <v>244</v>
      </c>
      <c r="K84" s="2" t="s">
        <v>241</v>
      </c>
    </row>
    <row r="85" spans="1:11" s="72" customFormat="1" ht="48.75" customHeight="1" x14ac:dyDescent="0.25">
      <c r="A85" s="98" t="s">
        <v>245</v>
      </c>
      <c r="B85" s="8" t="s">
        <v>41</v>
      </c>
      <c r="C85" s="42" t="s">
        <v>154</v>
      </c>
      <c r="D85" s="42"/>
      <c r="E85" s="9"/>
      <c r="F85" s="181"/>
      <c r="G85" s="181"/>
      <c r="H85" s="261">
        <v>2240.1</v>
      </c>
      <c r="I85" s="1" t="s">
        <v>42</v>
      </c>
      <c r="J85" s="8" t="s">
        <v>246</v>
      </c>
      <c r="K85" s="2" t="s">
        <v>247</v>
      </c>
    </row>
    <row r="86" spans="1:11" s="72" customFormat="1" ht="48.75" customHeight="1" x14ac:dyDescent="0.25">
      <c r="A86" s="346" t="s">
        <v>408</v>
      </c>
      <c r="B86" s="346" t="s">
        <v>243</v>
      </c>
      <c r="C86" s="360" t="s">
        <v>154</v>
      </c>
      <c r="D86" s="360"/>
      <c r="E86" s="347"/>
      <c r="F86" s="351"/>
      <c r="G86" s="351"/>
      <c r="H86" s="349">
        <v>342000</v>
      </c>
      <c r="I86" s="345" t="s">
        <v>243</v>
      </c>
      <c r="J86" s="346" t="s">
        <v>417</v>
      </c>
      <c r="K86" s="2" t="s">
        <v>418</v>
      </c>
    </row>
    <row r="87" spans="1:11" s="72" customFormat="1" ht="48.75" customHeight="1" x14ac:dyDescent="0.25">
      <c r="A87" s="346" t="s">
        <v>409</v>
      </c>
      <c r="B87" s="346" t="s">
        <v>41</v>
      </c>
      <c r="C87" s="360" t="s">
        <v>154</v>
      </c>
      <c r="D87" s="360"/>
      <c r="E87" s="347"/>
      <c r="F87" s="351"/>
      <c r="G87" s="351"/>
      <c r="H87" s="349">
        <f>4947.6+2300+729.6+1995</f>
        <v>9972.2000000000007</v>
      </c>
      <c r="I87" s="345" t="s">
        <v>42</v>
      </c>
      <c r="J87" s="346" t="s">
        <v>419</v>
      </c>
      <c r="K87" s="2" t="s">
        <v>384</v>
      </c>
    </row>
    <row r="88" spans="1:11" s="348" customFormat="1" ht="48.75" customHeight="1" x14ac:dyDescent="0.25">
      <c r="A88" s="346" t="s">
        <v>493</v>
      </c>
      <c r="B88" s="346" t="s">
        <v>511</v>
      </c>
      <c r="C88" s="360" t="s">
        <v>154</v>
      </c>
      <c r="D88" s="360"/>
      <c r="E88" s="374"/>
      <c r="F88" s="351">
        <v>0</v>
      </c>
      <c r="G88" s="351">
        <v>0</v>
      </c>
      <c r="H88" s="349">
        <v>398275</v>
      </c>
      <c r="I88" s="373" t="s">
        <v>306</v>
      </c>
      <c r="J88" s="346" t="s">
        <v>512</v>
      </c>
      <c r="K88" s="372" t="s">
        <v>284</v>
      </c>
    </row>
    <row r="89" spans="1:11" s="391" customFormat="1" ht="48.75" customHeight="1" x14ac:dyDescent="0.25">
      <c r="A89" s="389" t="s">
        <v>494</v>
      </c>
      <c r="B89" s="389" t="s">
        <v>535</v>
      </c>
      <c r="C89" s="393" t="s">
        <v>154</v>
      </c>
      <c r="D89" s="393"/>
      <c r="E89" s="390"/>
      <c r="F89" s="394">
        <v>0</v>
      </c>
      <c r="G89" s="394">
        <v>0</v>
      </c>
      <c r="H89" s="392">
        <v>6822.9</v>
      </c>
      <c r="I89" s="388" t="s">
        <v>536</v>
      </c>
      <c r="J89" s="389" t="s">
        <v>537</v>
      </c>
      <c r="K89" s="387" t="s">
        <v>384</v>
      </c>
    </row>
    <row r="90" spans="1:11" s="391" customFormat="1" ht="48.75" customHeight="1" x14ac:dyDescent="0.25">
      <c r="A90" s="413" t="s">
        <v>495</v>
      </c>
      <c r="B90" s="413" t="s">
        <v>638</v>
      </c>
      <c r="C90" s="393" t="s">
        <v>154</v>
      </c>
      <c r="D90" s="393"/>
      <c r="E90" s="414"/>
      <c r="F90" s="394"/>
      <c r="G90" s="394"/>
      <c r="H90" s="392">
        <f>1311+1846.8+1852.5+1881</f>
        <v>6891.3</v>
      </c>
      <c r="I90" s="397" t="s">
        <v>639</v>
      </c>
      <c r="J90" s="413" t="s">
        <v>640</v>
      </c>
      <c r="K90" s="411" t="s">
        <v>247</v>
      </c>
    </row>
    <row r="91" spans="1:11" s="348" customFormat="1" ht="48.75" customHeight="1" x14ac:dyDescent="0.25">
      <c r="A91" s="346" t="s">
        <v>496</v>
      </c>
      <c r="B91" s="346" t="s">
        <v>513</v>
      </c>
      <c r="C91" s="360" t="s">
        <v>154</v>
      </c>
      <c r="D91" s="360"/>
      <c r="E91" s="374"/>
      <c r="F91" s="351">
        <v>0</v>
      </c>
      <c r="G91" s="351">
        <v>0</v>
      </c>
      <c r="H91" s="349">
        <v>35500</v>
      </c>
      <c r="I91" s="373" t="s">
        <v>153</v>
      </c>
      <c r="J91" s="346" t="s">
        <v>514</v>
      </c>
      <c r="K91" s="372" t="s">
        <v>288</v>
      </c>
    </row>
    <row r="92" spans="1:11" s="391" customFormat="1" ht="48.75" customHeight="1" x14ac:dyDescent="0.25">
      <c r="A92" s="413" t="s">
        <v>559</v>
      </c>
      <c r="B92" s="413" t="s">
        <v>613</v>
      </c>
      <c r="C92" s="393" t="s">
        <v>154</v>
      </c>
      <c r="D92" s="393"/>
      <c r="E92" s="414"/>
      <c r="F92" s="394">
        <v>0</v>
      </c>
      <c r="G92" s="394">
        <v>1</v>
      </c>
      <c r="H92" s="392">
        <v>46450</v>
      </c>
      <c r="I92" s="397" t="s">
        <v>23</v>
      </c>
      <c r="J92" s="413" t="s">
        <v>614</v>
      </c>
      <c r="K92" s="411" t="s">
        <v>384</v>
      </c>
    </row>
    <row r="93" spans="1:11" s="391" customFormat="1" ht="48.75" customHeight="1" x14ac:dyDescent="0.25">
      <c r="A93" s="413" t="s">
        <v>560</v>
      </c>
      <c r="B93" s="413" t="s">
        <v>480</v>
      </c>
      <c r="C93" s="393" t="s">
        <v>154</v>
      </c>
      <c r="D93" s="393"/>
      <c r="E93" s="414"/>
      <c r="F93" s="394">
        <v>0</v>
      </c>
      <c r="G93" s="394">
        <v>1</v>
      </c>
      <c r="H93" s="392">
        <v>37745.4</v>
      </c>
      <c r="I93" s="397" t="s">
        <v>480</v>
      </c>
      <c r="J93" s="413" t="s">
        <v>615</v>
      </c>
      <c r="K93" s="411" t="s">
        <v>384</v>
      </c>
    </row>
    <row r="94" spans="1:11" s="391" customFormat="1" ht="48.75" customHeight="1" x14ac:dyDescent="0.25">
      <c r="A94" s="413" t="s">
        <v>561</v>
      </c>
      <c r="B94" s="413" t="s">
        <v>513</v>
      </c>
      <c r="C94" s="393" t="s">
        <v>154</v>
      </c>
      <c r="D94" s="393"/>
      <c r="E94" s="414"/>
      <c r="F94" s="394">
        <v>0</v>
      </c>
      <c r="G94" s="394">
        <v>1</v>
      </c>
      <c r="H94" s="392">
        <f>18500+19250*2+25500</f>
        <v>82500</v>
      </c>
      <c r="I94" s="397" t="s">
        <v>153</v>
      </c>
      <c r="J94" s="413" t="s">
        <v>514</v>
      </c>
      <c r="K94" s="411" t="s">
        <v>616</v>
      </c>
    </row>
    <row r="95" spans="1:11" s="391" customFormat="1" ht="48.75" customHeight="1" x14ac:dyDescent="0.25">
      <c r="A95" s="413" t="s">
        <v>562</v>
      </c>
      <c r="B95" s="413" t="s">
        <v>574</v>
      </c>
      <c r="C95" s="393" t="s">
        <v>154</v>
      </c>
      <c r="D95" s="393"/>
      <c r="E95" s="414"/>
      <c r="F95" s="394">
        <v>0</v>
      </c>
      <c r="G95" s="394">
        <v>0</v>
      </c>
      <c r="H95" s="392">
        <v>28500</v>
      </c>
      <c r="I95" s="397" t="s">
        <v>153</v>
      </c>
      <c r="J95" s="413" t="s">
        <v>575</v>
      </c>
      <c r="K95" s="411" t="s">
        <v>288</v>
      </c>
    </row>
    <row r="96" spans="1:11" s="23" customFormat="1" ht="48.75" customHeight="1" x14ac:dyDescent="0.25">
      <c r="A96" s="8" t="s">
        <v>652</v>
      </c>
      <c r="B96" s="8" t="s">
        <v>660</v>
      </c>
      <c r="C96" s="42" t="s">
        <v>154</v>
      </c>
      <c r="D96" s="42"/>
      <c r="E96" s="9"/>
      <c r="F96" s="181">
        <v>0</v>
      </c>
      <c r="G96" s="181">
        <v>1</v>
      </c>
      <c r="H96" s="261">
        <v>240000</v>
      </c>
      <c r="I96" s="1" t="s">
        <v>660</v>
      </c>
      <c r="J96" s="8" t="s">
        <v>661</v>
      </c>
      <c r="K96" s="2" t="s">
        <v>284</v>
      </c>
    </row>
    <row r="97" spans="1:20" s="23" customFormat="1" ht="48.75" customHeight="1" x14ac:dyDescent="0.25">
      <c r="A97" s="8" t="s">
        <v>653</v>
      </c>
      <c r="B97" s="8" t="s">
        <v>662</v>
      </c>
      <c r="C97" s="42" t="s">
        <v>154</v>
      </c>
      <c r="D97" s="42"/>
      <c r="E97" s="9"/>
      <c r="F97" s="181">
        <v>0</v>
      </c>
      <c r="G97" s="181">
        <v>1</v>
      </c>
      <c r="H97" s="261">
        <v>12528.6</v>
      </c>
      <c r="I97" s="1" t="s">
        <v>663</v>
      </c>
      <c r="J97" s="8" t="s">
        <v>664</v>
      </c>
      <c r="K97" s="2" t="s">
        <v>384</v>
      </c>
    </row>
    <row r="98" spans="1:20" s="23" customFormat="1" ht="48.75" customHeight="1" x14ac:dyDescent="0.25">
      <c r="A98" s="8" t="s">
        <v>654</v>
      </c>
      <c r="B98" s="8" t="s">
        <v>674</v>
      </c>
      <c r="C98" s="42"/>
      <c r="D98" s="42"/>
      <c r="E98" s="9" t="s">
        <v>154</v>
      </c>
      <c r="F98" s="181">
        <v>0</v>
      </c>
      <c r="G98" s="181">
        <v>0</v>
      </c>
      <c r="H98" s="261">
        <v>19200</v>
      </c>
      <c r="I98" s="1" t="s">
        <v>675</v>
      </c>
      <c r="J98" s="8" t="s">
        <v>676</v>
      </c>
      <c r="K98" s="2" t="s">
        <v>677</v>
      </c>
    </row>
    <row r="99" spans="1:20" s="391" customFormat="1" ht="48.75" customHeight="1" x14ac:dyDescent="0.25">
      <c r="A99" s="413" t="s">
        <v>745</v>
      </c>
      <c r="B99" s="413" t="s">
        <v>750</v>
      </c>
      <c r="C99" s="393" t="s">
        <v>154</v>
      </c>
      <c r="D99" s="393"/>
      <c r="E99" s="414"/>
      <c r="F99" s="394"/>
      <c r="G99" s="394"/>
      <c r="H99" s="392">
        <v>13680</v>
      </c>
      <c r="I99" s="397" t="s">
        <v>751</v>
      </c>
      <c r="J99" s="413" t="s">
        <v>752</v>
      </c>
      <c r="K99" s="411" t="s">
        <v>753</v>
      </c>
    </row>
    <row r="100" spans="1:20" s="38" customFormat="1" ht="42.75" customHeight="1" x14ac:dyDescent="0.25">
      <c r="A100" s="4"/>
      <c r="B100" s="4"/>
      <c r="C100" s="4"/>
      <c r="D100" s="4"/>
      <c r="E100" s="5"/>
      <c r="F100" s="19"/>
      <c r="G100" s="20"/>
      <c r="H100" s="75">
        <f>SUM(H70:H99)</f>
        <v>1932214.0399999998</v>
      </c>
      <c r="I100" s="11"/>
      <c r="J100" s="11"/>
      <c r="K100" s="11"/>
      <c r="L100" s="23"/>
      <c r="M100" s="23"/>
      <c r="N100" s="23"/>
      <c r="O100" s="23"/>
      <c r="P100" s="23"/>
      <c r="Q100" s="23"/>
      <c r="R100" s="23"/>
      <c r="S100" s="23"/>
      <c r="T100" s="23"/>
    </row>
    <row r="101" spans="1:20" s="38" customFormat="1" ht="45" customHeight="1" x14ac:dyDescent="0.25">
      <c r="A101" s="457"/>
      <c r="B101" s="457"/>
      <c r="C101" s="457"/>
      <c r="D101" s="457"/>
      <c r="E101" s="457"/>
      <c r="F101" s="457"/>
      <c r="G101" s="457"/>
      <c r="H101" s="457"/>
      <c r="I101" s="457"/>
      <c r="J101" s="457"/>
      <c r="K101" s="457"/>
      <c r="L101" s="23"/>
      <c r="M101" s="23"/>
      <c r="N101" s="23"/>
      <c r="O101" s="23"/>
      <c r="P101" s="23"/>
      <c r="Q101" s="23"/>
      <c r="R101" s="23"/>
      <c r="S101" s="23"/>
      <c r="T101" s="23"/>
    </row>
    <row r="102" spans="1:20" s="38" customFormat="1" ht="43.5" customHeight="1" x14ac:dyDescent="0.25">
      <c r="A102" s="452" t="s">
        <v>19</v>
      </c>
      <c r="B102" s="452"/>
      <c r="C102" s="452"/>
      <c r="D102" s="452"/>
      <c r="E102" s="452"/>
      <c r="F102" s="452"/>
      <c r="G102" s="452"/>
      <c r="H102" s="452"/>
      <c r="I102" s="452"/>
      <c r="J102" s="452"/>
      <c r="K102" s="452"/>
      <c r="L102" s="23"/>
      <c r="M102" s="23"/>
      <c r="N102" s="23"/>
      <c r="O102" s="23"/>
      <c r="P102" s="23"/>
      <c r="Q102" s="23"/>
      <c r="R102" s="23"/>
      <c r="S102" s="23"/>
      <c r="T102" s="23"/>
    </row>
    <row r="103" spans="1:20" s="38" customFormat="1" ht="49.5" customHeight="1" x14ac:dyDescent="0.25">
      <c r="A103" s="150" t="s">
        <v>0</v>
      </c>
      <c r="B103" s="150" t="s">
        <v>1</v>
      </c>
      <c r="C103" s="149" t="s">
        <v>12</v>
      </c>
      <c r="D103" s="149" t="s">
        <v>13</v>
      </c>
      <c r="E103" s="150" t="s">
        <v>2</v>
      </c>
      <c r="F103" s="151" t="s">
        <v>3</v>
      </c>
      <c r="G103" s="150" t="s">
        <v>4</v>
      </c>
      <c r="H103" s="75" t="s">
        <v>7</v>
      </c>
      <c r="I103" s="149" t="s">
        <v>14</v>
      </c>
      <c r="J103" s="149" t="s">
        <v>10</v>
      </c>
      <c r="K103" s="149" t="s">
        <v>9</v>
      </c>
      <c r="L103" s="23"/>
      <c r="M103" s="23"/>
      <c r="N103" s="23"/>
      <c r="O103" s="23"/>
      <c r="P103" s="23"/>
      <c r="Q103" s="23"/>
      <c r="R103" s="23"/>
      <c r="S103" s="23"/>
      <c r="T103" s="23"/>
    </row>
    <row r="104" spans="1:20" s="23" customFormat="1" ht="35.25" customHeight="1" x14ac:dyDescent="0.25">
      <c r="A104" s="85" t="s">
        <v>182</v>
      </c>
      <c r="B104" s="74" t="s">
        <v>185</v>
      </c>
      <c r="C104" s="73" t="s">
        <v>109</v>
      </c>
      <c r="D104" s="73" t="s">
        <v>141</v>
      </c>
      <c r="E104" s="9"/>
      <c r="F104" s="67"/>
      <c r="G104" s="10"/>
      <c r="H104" s="12">
        <v>72514.960000000006</v>
      </c>
      <c r="I104" s="8" t="s">
        <v>183</v>
      </c>
      <c r="J104" s="74" t="s">
        <v>184</v>
      </c>
      <c r="K104" s="2"/>
    </row>
    <row r="105" spans="1:20" s="38" customFormat="1" ht="45" customHeight="1" x14ac:dyDescent="0.25">
      <c r="A105" s="53" t="s">
        <v>6</v>
      </c>
      <c r="B105" s="4"/>
      <c r="C105" s="4"/>
      <c r="D105" s="4"/>
      <c r="E105" s="5"/>
      <c r="F105" s="19"/>
      <c r="G105" s="5"/>
      <c r="H105" s="75">
        <f>SUM(H104:H104)</f>
        <v>72514.960000000006</v>
      </c>
      <c r="I105" s="11"/>
      <c r="J105" s="11"/>
      <c r="K105" s="19"/>
      <c r="L105" s="23"/>
      <c r="M105" s="23"/>
      <c r="N105" s="23"/>
      <c r="O105" s="23"/>
      <c r="P105" s="23"/>
      <c r="Q105" s="23"/>
      <c r="R105" s="23"/>
      <c r="S105" s="23"/>
      <c r="T105" s="23"/>
    </row>
    <row r="106" spans="1:20" s="38" customFormat="1" ht="39.75" customHeight="1" x14ac:dyDescent="0.25">
      <c r="A106" s="54"/>
      <c r="B106" s="4"/>
      <c r="C106" s="4"/>
      <c r="D106" s="4"/>
      <c r="E106" s="5"/>
      <c r="F106" s="19"/>
      <c r="G106" s="5"/>
      <c r="H106" s="12"/>
      <c r="I106" s="11"/>
      <c r="J106" s="11"/>
      <c r="K106" s="19"/>
      <c r="L106" s="23"/>
      <c r="M106" s="23"/>
      <c r="N106" s="23"/>
      <c r="O106" s="23"/>
      <c r="P106" s="23"/>
      <c r="Q106" s="23"/>
      <c r="R106" s="23"/>
      <c r="S106" s="23"/>
      <c r="T106" s="23"/>
    </row>
    <row r="107" spans="1:20" s="38" customFormat="1" ht="47.25" customHeight="1" x14ac:dyDescent="0.25">
      <c r="A107" s="188" t="s">
        <v>8</v>
      </c>
      <c r="B107" s="56"/>
      <c r="C107" s="56"/>
      <c r="D107" s="56"/>
      <c r="E107" s="40"/>
      <c r="F107" s="45"/>
      <c r="G107" s="40"/>
      <c r="H107" s="201">
        <f>+H105+H65+H58+H52+H46+H100</f>
        <v>48081507.719999999</v>
      </c>
      <c r="I107" s="11"/>
      <c r="J107" s="11"/>
      <c r="K107" s="19"/>
      <c r="L107" s="23"/>
      <c r="M107" s="23"/>
      <c r="N107" s="23"/>
      <c r="O107" s="23"/>
      <c r="P107" s="23"/>
      <c r="Q107" s="23"/>
      <c r="R107" s="23"/>
      <c r="S107" s="23"/>
      <c r="T107" s="23"/>
    </row>
    <row r="108" spans="1:20" x14ac:dyDescent="0.25">
      <c r="B108" s="57"/>
      <c r="C108" s="58"/>
      <c r="D108" s="58"/>
    </row>
    <row r="109" spans="1:20" x14ac:dyDescent="0.25">
      <c r="A109" s="454"/>
      <c r="B109" s="455"/>
      <c r="C109" s="455"/>
      <c r="D109" s="455"/>
      <c r="E109" s="455"/>
      <c r="F109" s="455"/>
      <c r="G109" s="455"/>
      <c r="H109" s="455"/>
    </row>
    <row r="112" spans="1:20" x14ac:dyDescent="0.25">
      <c r="E112" s="61"/>
    </row>
    <row r="114" spans="5:9" x14ac:dyDescent="0.25">
      <c r="E114" s="61"/>
      <c r="G114" s="62"/>
      <c r="I114" s="63"/>
    </row>
  </sheetData>
  <mergeCells count="19">
    <mergeCell ref="A11:K11"/>
    <mergeCell ref="A12:K12"/>
    <mergeCell ref="A13:K13"/>
    <mergeCell ref="A109:H109"/>
    <mergeCell ref="A67:K67"/>
    <mergeCell ref="A68:K68"/>
    <mergeCell ref="A101:K101"/>
    <mergeCell ref="A102:K102"/>
    <mergeCell ref="A48:K48"/>
    <mergeCell ref="A47:K47"/>
    <mergeCell ref="A60:K60"/>
    <mergeCell ref="A54:K54"/>
    <mergeCell ref="A59:K59"/>
    <mergeCell ref="A53:K53"/>
    <mergeCell ref="A6:H6"/>
    <mergeCell ref="A7:K7"/>
    <mergeCell ref="A9:K9"/>
    <mergeCell ref="A8:K8"/>
    <mergeCell ref="A10:K10"/>
  </mergeCells>
  <pageMargins left="0.7" right="0.7" top="0.75" bottom="0.75" header="0.3" footer="0.3"/>
  <pageSetup paperSize="8" scale="44" orientation="landscape" r:id="rId1"/>
  <rowBreaks count="4" manualBreakCount="4">
    <brk id="52" max="10" man="1"/>
    <brk id="66" max="10" man="1"/>
    <brk id="100" max="10" man="1"/>
    <brk id="108" max="10"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topLeftCell="A52" zoomScale="55" zoomScaleNormal="70" zoomScaleSheetLayoutView="55" workbookViewId="0">
      <selection activeCell="A51" sqref="A51:XFD51"/>
    </sheetView>
  </sheetViews>
  <sheetFormatPr defaultRowHeight="18" x14ac:dyDescent="0.25"/>
  <cols>
    <col min="1" max="1" width="49.85546875" style="29" customWidth="1"/>
    <col min="2" max="2" width="67.140625" style="60" customWidth="1"/>
    <col min="3" max="3" width="14.85546875" style="60" customWidth="1"/>
    <col min="4" max="4" width="14.28515625" style="60" customWidth="1"/>
    <col min="5" max="5" width="16.85546875" style="59" customWidth="1"/>
    <col min="6" max="6" width="13.140625" style="29" customWidth="1"/>
    <col min="7" max="7" width="12.85546875" style="59" customWidth="1"/>
    <col min="8" max="8" width="27.42578125" style="368" customWidth="1"/>
    <col min="9" max="9" width="24" style="60" customWidth="1"/>
    <col min="10" max="10" width="73.42578125" style="60" customWidth="1"/>
    <col min="11" max="11" width="30" style="29" customWidth="1"/>
    <col min="12" max="16384" width="9.140625" style="29"/>
  </cols>
  <sheetData>
    <row r="1" spans="1:12" s="27" customFormat="1" x14ac:dyDescent="0.25">
      <c r="A1" s="450"/>
      <c r="B1" s="450"/>
      <c r="C1" s="450"/>
      <c r="D1" s="450"/>
      <c r="E1" s="450"/>
      <c r="F1" s="450"/>
      <c r="G1" s="450"/>
      <c r="H1" s="450"/>
      <c r="I1" s="26"/>
      <c r="J1" s="26"/>
    </row>
    <row r="2" spans="1:12" s="27" customFormat="1" x14ac:dyDescent="0.25">
      <c r="A2" s="28"/>
      <c r="B2" s="28"/>
      <c r="C2" s="28"/>
      <c r="D2" s="28"/>
      <c r="E2" s="28"/>
      <c r="F2" s="28"/>
      <c r="G2" s="28"/>
      <c r="H2" s="363"/>
      <c r="I2" s="26"/>
      <c r="J2" s="26"/>
    </row>
    <row r="3" spans="1:12" s="27" customFormat="1" x14ac:dyDescent="0.25">
      <c r="A3" s="28"/>
      <c r="B3" s="28"/>
      <c r="C3" s="28"/>
      <c r="D3" s="28"/>
      <c r="E3" s="28"/>
      <c r="F3" s="28"/>
      <c r="G3" s="28"/>
      <c r="H3" s="363"/>
      <c r="I3" s="26"/>
      <c r="J3" s="26"/>
    </row>
    <row r="4" spans="1:12" s="27" customFormat="1" x14ac:dyDescent="0.25">
      <c r="A4" s="28"/>
      <c r="B4" s="28"/>
      <c r="C4" s="28"/>
      <c r="D4" s="28"/>
      <c r="E4" s="28"/>
      <c r="F4" s="28"/>
      <c r="G4" s="28"/>
      <c r="H4" s="363"/>
      <c r="I4" s="26"/>
      <c r="J4" s="26"/>
    </row>
    <row r="5" spans="1:12" s="27" customFormat="1" x14ac:dyDescent="0.25">
      <c r="A5" s="28"/>
      <c r="B5" s="28"/>
      <c r="C5" s="28"/>
      <c r="D5" s="28"/>
      <c r="E5" s="28"/>
      <c r="F5" s="28"/>
      <c r="G5" s="28"/>
      <c r="H5" s="363"/>
      <c r="I5" s="26"/>
      <c r="J5" s="26"/>
    </row>
    <row r="6" spans="1:12" s="27" customFormat="1" x14ac:dyDescent="0.25">
      <c r="A6" s="28"/>
      <c r="B6" s="28"/>
      <c r="C6" s="28"/>
      <c r="D6" s="28"/>
      <c r="E6" s="28"/>
      <c r="F6" s="28"/>
      <c r="G6" s="28"/>
      <c r="H6" s="363"/>
      <c r="I6" s="26"/>
      <c r="J6" s="26"/>
    </row>
    <row r="7" spans="1:12" s="27" customFormat="1" ht="38.25" customHeight="1" x14ac:dyDescent="0.25">
      <c r="A7" s="450"/>
      <c r="B7" s="450"/>
      <c r="C7" s="450"/>
      <c r="D7" s="450"/>
      <c r="E7" s="450"/>
      <c r="F7" s="450"/>
      <c r="G7" s="450"/>
      <c r="H7" s="450"/>
      <c r="I7" s="450"/>
      <c r="J7" s="450"/>
      <c r="K7" s="450"/>
    </row>
    <row r="8" spans="1:12" ht="32.25" customHeight="1" x14ac:dyDescent="0.25">
      <c r="A8" s="450"/>
      <c r="B8" s="450"/>
      <c r="C8" s="450"/>
      <c r="D8" s="450"/>
      <c r="E8" s="450"/>
      <c r="F8" s="450"/>
      <c r="G8" s="450"/>
      <c r="H8" s="450"/>
      <c r="I8" s="450"/>
      <c r="J8" s="450"/>
      <c r="K8" s="450"/>
    </row>
    <row r="9" spans="1:12" ht="45" customHeight="1" x14ac:dyDescent="0.25">
      <c r="A9" s="451" t="s">
        <v>86</v>
      </c>
      <c r="B9" s="451"/>
      <c r="C9" s="451"/>
      <c r="D9" s="451"/>
      <c r="E9" s="451"/>
      <c r="F9" s="451"/>
      <c r="G9" s="451"/>
      <c r="H9" s="451"/>
      <c r="I9" s="451"/>
      <c r="J9" s="451"/>
      <c r="K9" s="451"/>
    </row>
    <row r="10" spans="1:12" ht="45" customHeight="1" x14ac:dyDescent="0.25">
      <c r="A10" s="451"/>
      <c r="B10" s="451"/>
      <c r="C10" s="451"/>
      <c r="D10" s="451"/>
      <c r="E10" s="451"/>
      <c r="F10" s="451"/>
      <c r="G10" s="451"/>
      <c r="H10" s="451"/>
      <c r="I10" s="451"/>
      <c r="J10" s="451"/>
      <c r="K10" s="451"/>
    </row>
    <row r="11" spans="1:12" ht="51.75" customHeight="1" x14ac:dyDescent="0.25">
      <c r="A11" s="452" t="s">
        <v>16</v>
      </c>
      <c r="B11" s="452"/>
      <c r="C11" s="452"/>
      <c r="D11" s="452"/>
      <c r="E11" s="452"/>
      <c r="F11" s="452"/>
      <c r="G11" s="452"/>
      <c r="H11" s="452"/>
      <c r="I11" s="452"/>
      <c r="J11" s="452"/>
      <c r="K11" s="452"/>
    </row>
    <row r="12" spans="1:12" ht="29.1" customHeight="1" x14ac:dyDescent="0.25">
      <c r="A12" s="452"/>
      <c r="B12" s="452"/>
      <c r="C12" s="452"/>
      <c r="D12" s="452"/>
      <c r="E12" s="452"/>
      <c r="F12" s="452"/>
      <c r="G12" s="452"/>
      <c r="H12" s="452"/>
      <c r="I12" s="452"/>
      <c r="J12" s="452"/>
      <c r="K12" s="452"/>
    </row>
    <row r="13" spans="1:12" ht="60.75" customHeight="1" x14ac:dyDescent="0.25">
      <c r="A13" s="145" t="s">
        <v>0</v>
      </c>
      <c r="B13" s="145" t="s">
        <v>1</v>
      </c>
      <c r="C13" s="146" t="s">
        <v>12</v>
      </c>
      <c r="D13" s="146" t="s">
        <v>13</v>
      </c>
      <c r="E13" s="145" t="s">
        <v>2</v>
      </c>
      <c r="F13" s="147" t="s">
        <v>3</v>
      </c>
      <c r="G13" s="145" t="s">
        <v>4</v>
      </c>
      <c r="H13" s="364" t="s">
        <v>5</v>
      </c>
      <c r="I13" s="149" t="s">
        <v>14</v>
      </c>
      <c r="J13" s="149" t="s">
        <v>10</v>
      </c>
      <c r="K13" s="149" t="s">
        <v>9</v>
      </c>
      <c r="L13" s="152"/>
    </row>
    <row r="14" spans="1:12" s="352" customFormat="1" ht="50.25" customHeight="1" x14ac:dyDescent="0.25">
      <c r="A14" s="358" t="s">
        <v>393</v>
      </c>
      <c r="B14" s="354" t="s">
        <v>435</v>
      </c>
      <c r="C14" s="285">
        <v>2015</v>
      </c>
      <c r="D14" s="269">
        <v>2018</v>
      </c>
      <c r="E14" s="270" t="s">
        <v>436</v>
      </c>
      <c r="F14" s="370">
        <v>0</v>
      </c>
      <c r="G14" s="271">
        <v>0</v>
      </c>
      <c r="H14" s="259">
        <v>12828</v>
      </c>
      <c r="I14" s="354" t="s">
        <v>437</v>
      </c>
      <c r="J14" s="354" t="s">
        <v>438</v>
      </c>
      <c r="K14" s="345" t="s">
        <v>46</v>
      </c>
    </row>
    <row r="15" spans="1:12" s="352" customFormat="1" ht="50.25" customHeight="1" x14ac:dyDescent="0.25">
      <c r="A15" s="358" t="s">
        <v>552</v>
      </c>
      <c r="B15" s="411" t="s">
        <v>576</v>
      </c>
      <c r="C15" s="285">
        <v>41523</v>
      </c>
      <c r="D15" s="285">
        <v>43378</v>
      </c>
      <c r="E15" s="270" t="s">
        <v>577</v>
      </c>
      <c r="F15" s="370">
        <v>0</v>
      </c>
      <c r="G15" s="271">
        <v>0</v>
      </c>
      <c r="H15" s="259">
        <v>41100</v>
      </c>
      <c r="I15" s="411" t="s">
        <v>578</v>
      </c>
      <c r="J15" s="411" t="s">
        <v>579</v>
      </c>
      <c r="K15" s="397" t="s">
        <v>46</v>
      </c>
    </row>
    <row r="16" spans="1:12" s="65" customFormat="1" ht="90" x14ac:dyDescent="0.25">
      <c r="A16" s="3" t="s">
        <v>646</v>
      </c>
      <c r="B16" s="2" t="s">
        <v>678</v>
      </c>
      <c r="C16" s="431"/>
      <c r="D16" s="431"/>
      <c r="E16" s="428" t="s">
        <v>154</v>
      </c>
      <c r="F16" s="432">
        <v>0.5</v>
      </c>
      <c r="G16" s="429">
        <v>1</v>
      </c>
      <c r="H16" s="433">
        <f>79797.66*2</f>
        <v>159595.32</v>
      </c>
      <c r="I16" s="2" t="s">
        <v>578</v>
      </c>
      <c r="J16" s="2" t="s">
        <v>679</v>
      </c>
      <c r="K16" s="1" t="s">
        <v>46</v>
      </c>
    </row>
    <row r="17" spans="1:11" s="65" customFormat="1" ht="144" x14ac:dyDescent="0.25">
      <c r="A17" s="3" t="s">
        <v>178</v>
      </c>
      <c r="B17" s="2" t="s">
        <v>680</v>
      </c>
      <c r="C17" s="431"/>
      <c r="D17" s="431"/>
      <c r="E17" s="428" t="s">
        <v>154</v>
      </c>
      <c r="F17" s="432">
        <v>0</v>
      </c>
      <c r="G17" s="429">
        <v>0</v>
      </c>
      <c r="H17" s="433">
        <v>99180</v>
      </c>
      <c r="I17" s="2" t="s">
        <v>578</v>
      </c>
      <c r="J17" s="2" t="s">
        <v>680</v>
      </c>
      <c r="K17" s="1" t="s">
        <v>681</v>
      </c>
    </row>
    <row r="18" spans="1:11" s="38" customFormat="1" ht="46.5" customHeight="1" x14ac:dyDescent="0.25">
      <c r="A18" s="36" t="s">
        <v>6</v>
      </c>
      <c r="B18" s="2"/>
      <c r="C18" s="2"/>
      <c r="D18" s="2"/>
      <c r="E18" s="9"/>
      <c r="F18" s="1"/>
      <c r="G18" s="9"/>
      <c r="H18" s="230">
        <f>SUM(H14:H17)</f>
        <v>312703.32</v>
      </c>
      <c r="I18" s="11"/>
      <c r="J18" s="11"/>
      <c r="K18" s="11"/>
    </row>
    <row r="19" spans="1:11" s="38" customFormat="1" ht="63.75" customHeight="1" x14ac:dyDescent="0.25">
      <c r="A19" s="456"/>
      <c r="B19" s="456"/>
      <c r="C19" s="456"/>
      <c r="D19" s="456"/>
      <c r="E19" s="456"/>
      <c r="F19" s="456"/>
      <c r="G19" s="456"/>
      <c r="H19" s="456"/>
      <c r="I19" s="456"/>
      <c r="J19" s="456"/>
      <c r="K19" s="456"/>
    </row>
    <row r="20" spans="1:11" s="38" customFormat="1" ht="51.75" customHeight="1" x14ac:dyDescent="0.25">
      <c r="A20" s="458" t="s">
        <v>84</v>
      </c>
      <c r="B20" s="458"/>
      <c r="C20" s="458"/>
      <c r="D20" s="458"/>
      <c r="E20" s="458"/>
      <c r="F20" s="458"/>
      <c r="G20" s="458"/>
      <c r="H20" s="458"/>
      <c r="I20" s="458"/>
      <c r="J20" s="458"/>
      <c r="K20" s="458"/>
    </row>
    <row r="21" spans="1:11" s="38" customFormat="1" ht="47.25" customHeight="1" x14ac:dyDescent="0.25">
      <c r="A21" s="150" t="s">
        <v>0</v>
      </c>
      <c r="B21" s="150" t="s">
        <v>1</v>
      </c>
      <c r="C21" s="149" t="s">
        <v>12</v>
      </c>
      <c r="D21" s="149" t="s">
        <v>13</v>
      </c>
      <c r="E21" s="150" t="s">
        <v>2</v>
      </c>
      <c r="F21" s="151" t="s">
        <v>3</v>
      </c>
      <c r="G21" s="150" t="s">
        <v>4</v>
      </c>
      <c r="H21" s="230" t="s">
        <v>7</v>
      </c>
      <c r="I21" s="149" t="s">
        <v>14</v>
      </c>
      <c r="J21" s="149" t="s">
        <v>10</v>
      </c>
      <c r="K21" s="149" t="s">
        <v>9</v>
      </c>
    </row>
    <row r="22" spans="1:11" s="35" customFormat="1" ht="47.25" customHeight="1" x14ac:dyDescent="0.25">
      <c r="A22" s="47"/>
      <c r="B22" s="47"/>
      <c r="C22" s="189"/>
      <c r="D22" s="189"/>
      <c r="E22" s="47"/>
      <c r="F22" s="48"/>
      <c r="G22" s="47"/>
      <c r="H22" s="258">
        <v>0</v>
      </c>
      <c r="I22" s="189"/>
      <c r="J22" s="189"/>
      <c r="K22" s="189"/>
    </row>
    <row r="23" spans="1:11" s="38" customFormat="1" ht="51" customHeight="1" x14ac:dyDescent="0.25">
      <c r="A23" s="18"/>
      <c r="B23" s="24"/>
      <c r="C23" s="76"/>
      <c r="D23" s="76"/>
      <c r="E23" s="25"/>
      <c r="F23" s="69"/>
      <c r="G23" s="6"/>
      <c r="H23" s="365"/>
      <c r="I23" s="2"/>
      <c r="J23" s="11"/>
      <c r="K23" s="11"/>
    </row>
    <row r="24" spans="1:11" s="38" customFormat="1" ht="45" customHeight="1" x14ac:dyDescent="0.25">
      <c r="A24" s="43" t="s">
        <v>6</v>
      </c>
      <c r="B24" s="11"/>
      <c r="C24" s="11"/>
      <c r="D24" s="11"/>
      <c r="E24" s="5"/>
      <c r="F24" s="44"/>
      <c r="G24" s="44"/>
      <c r="H24" s="230">
        <f>SUM(H22:H23)</f>
        <v>0</v>
      </c>
      <c r="I24" s="11"/>
      <c r="J24" s="11"/>
      <c r="K24" s="30"/>
    </row>
    <row r="25" spans="1:11" s="38" customFormat="1" ht="39.75" customHeight="1" x14ac:dyDescent="0.25">
      <c r="A25" s="460"/>
      <c r="B25" s="460"/>
      <c r="C25" s="460"/>
      <c r="D25" s="460"/>
      <c r="E25" s="460"/>
      <c r="F25" s="460"/>
      <c r="G25" s="460"/>
      <c r="H25" s="460"/>
      <c r="I25" s="460"/>
      <c r="J25" s="460"/>
      <c r="K25" s="460"/>
    </row>
    <row r="26" spans="1:11" s="38" customFormat="1" ht="53.25" customHeight="1" x14ac:dyDescent="0.25">
      <c r="A26" s="456" t="s">
        <v>85</v>
      </c>
      <c r="B26" s="456"/>
      <c r="C26" s="456"/>
      <c r="D26" s="456"/>
      <c r="E26" s="456"/>
      <c r="F26" s="456"/>
      <c r="G26" s="456"/>
      <c r="H26" s="456"/>
      <c r="I26" s="456"/>
      <c r="J26" s="456"/>
      <c r="K26" s="456"/>
    </row>
    <row r="27" spans="1:11" s="38" customFormat="1" ht="51" customHeight="1" x14ac:dyDescent="0.25">
      <c r="A27" s="150" t="s">
        <v>0</v>
      </c>
      <c r="B27" s="150" t="s">
        <v>1</v>
      </c>
      <c r="C27" s="149" t="s">
        <v>12</v>
      </c>
      <c r="D27" s="149" t="s">
        <v>13</v>
      </c>
      <c r="E27" s="150" t="s">
        <v>2</v>
      </c>
      <c r="F27" s="151" t="s">
        <v>3</v>
      </c>
      <c r="G27" s="150" t="s">
        <v>4</v>
      </c>
      <c r="H27" s="230" t="s">
        <v>7</v>
      </c>
      <c r="I27" s="149" t="s">
        <v>14</v>
      </c>
      <c r="J27" s="149" t="s">
        <v>10</v>
      </c>
      <c r="K27" s="149" t="s">
        <v>9</v>
      </c>
    </row>
    <row r="28" spans="1:11" s="38" customFormat="1" ht="51" customHeight="1" x14ac:dyDescent="0.25">
      <c r="A28" s="18" t="s">
        <v>224</v>
      </c>
      <c r="B28" s="7" t="s">
        <v>225</v>
      </c>
      <c r="C28" s="80" t="s">
        <v>109</v>
      </c>
      <c r="D28" s="80" t="s">
        <v>31</v>
      </c>
      <c r="E28" s="25" t="s">
        <v>20</v>
      </c>
      <c r="F28" s="6"/>
      <c r="G28" s="6"/>
      <c r="H28" s="286">
        <f>1630.2+1142.28</f>
        <v>2772.48</v>
      </c>
      <c r="I28" s="78" t="s">
        <v>226</v>
      </c>
      <c r="J28" s="7" t="s">
        <v>227</v>
      </c>
      <c r="K28" s="7" t="s">
        <v>228</v>
      </c>
    </row>
    <row r="29" spans="1:11" s="391" customFormat="1" ht="51" customHeight="1" x14ac:dyDescent="0.25">
      <c r="A29" s="358" t="s">
        <v>547</v>
      </c>
      <c r="B29" s="411" t="s">
        <v>580</v>
      </c>
      <c r="C29" s="319" t="s">
        <v>109</v>
      </c>
      <c r="D29" s="319" t="s">
        <v>141</v>
      </c>
      <c r="E29" s="414" t="s">
        <v>20</v>
      </c>
      <c r="F29" s="410">
        <v>0</v>
      </c>
      <c r="G29" s="410">
        <v>0</v>
      </c>
      <c r="H29" s="286">
        <v>53861.58</v>
      </c>
      <c r="I29" s="78" t="s">
        <v>226</v>
      </c>
      <c r="J29" s="411" t="s">
        <v>581</v>
      </c>
      <c r="K29" s="411" t="s">
        <v>315</v>
      </c>
    </row>
    <row r="30" spans="1:11" s="391" customFormat="1" ht="51" customHeight="1" x14ac:dyDescent="0.25">
      <c r="A30" s="358" t="s">
        <v>720</v>
      </c>
      <c r="B30" s="411" t="s">
        <v>580</v>
      </c>
      <c r="C30" s="319" t="s">
        <v>109</v>
      </c>
      <c r="D30" s="319" t="s">
        <v>141</v>
      </c>
      <c r="E30" s="414" t="s">
        <v>20</v>
      </c>
      <c r="F30" s="410">
        <v>0</v>
      </c>
      <c r="G30" s="410">
        <v>0</v>
      </c>
      <c r="H30" s="286">
        <v>11365.8</v>
      </c>
      <c r="I30" s="78"/>
      <c r="J30" s="411" t="s">
        <v>581</v>
      </c>
      <c r="K30" s="411" t="s">
        <v>315</v>
      </c>
    </row>
    <row r="31" spans="1:11" s="46" customFormat="1" ht="51" customHeight="1" x14ac:dyDescent="0.25">
      <c r="A31" s="45" t="s">
        <v>6</v>
      </c>
      <c r="B31" s="30"/>
      <c r="C31" s="30"/>
      <c r="D31" s="30"/>
      <c r="E31" s="40"/>
      <c r="F31" s="45"/>
      <c r="G31" s="40"/>
      <c r="H31" s="246">
        <f>SUM(H28:H30)</f>
        <v>67999.86</v>
      </c>
      <c r="I31" s="11"/>
      <c r="J31" s="11"/>
      <c r="K31" s="11"/>
    </row>
    <row r="32" spans="1:11" s="46" customFormat="1" ht="32.25" customHeight="1" x14ac:dyDescent="0.25">
      <c r="A32" s="456"/>
      <c r="B32" s="456"/>
      <c r="C32" s="456"/>
      <c r="D32" s="456"/>
      <c r="E32" s="456"/>
      <c r="F32" s="456"/>
      <c r="G32" s="456"/>
      <c r="H32" s="456"/>
      <c r="I32" s="456"/>
      <c r="J32" s="456"/>
      <c r="K32" s="456"/>
    </row>
    <row r="33" spans="1:11" s="38" customFormat="1" ht="41.25" customHeight="1" x14ac:dyDescent="0.25">
      <c r="A33" s="450" t="s">
        <v>17</v>
      </c>
      <c r="B33" s="450"/>
      <c r="C33" s="450"/>
      <c r="D33" s="450"/>
      <c r="E33" s="450"/>
      <c r="F33" s="450"/>
      <c r="G33" s="450"/>
      <c r="H33" s="450"/>
      <c r="I33" s="450"/>
      <c r="J33" s="450"/>
      <c r="K33" s="450"/>
    </row>
    <row r="34" spans="1:11" s="38" customFormat="1" ht="44.25" customHeight="1" x14ac:dyDescent="0.25">
      <c r="A34" s="150" t="s">
        <v>0</v>
      </c>
      <c r="B34" s="150" t="s">
        <v>1</v>
      </c>
      <c r="C34" s="149" t="s">
        <v>12</v>
      </c>
      <c r="D34" s="149" t="s">
        <v>13</v>
      </c>
      <c r="E34" s="150" t="s">
        <v>2</v>
      </c>
      <c r="F34" s="151" t="s">
        <v>3</v>
      </c>
      <c r="G34" s="150" t="s">
        <v>4</v>
      </c>
      <c r="H34" s="230" t="s">
        <v>7</v>
      </c>
      <c r="I34" s="149" t="s">
        <v>14</v>
      </c>
      <c r="J34" s="149" t="s">
        <v>10</v>
      </c>
      <c r="K34" s="149" t="s">
        <v>9</v>
      </c>
    </row>
    <row r="35" spans="1:11" s="38" customFormat="1" ht="43.5" customHeight="1" x14ac:dyDescent="0.25">
      <c r="A35" s="31" t="s">
        <v>26</v>
      </c>
      <c r="B35" s="2" t="s">
        <v>27</v>
      </c>
      <c r="C35" s="32" t="s">
        <v>109</v>
      </c>
      <c r="D35" s="33" t="s">
        <v>141</v>
      </c>
      <c r="E35" s="34" t="s">
        <v>20</v>
      </c>
      <c r="F35" s="6"/>
      <c r="G35" s="6"/>
      <c r="H35" s="365">
        <f>1969577.55-21090-55404-58.71</f>
        <v>1893024.84</v>
      </c>
      <c r="I35" s="7"/>
      <c r="J35" s="7"/>
      <c r="K35" s="19"/>
    </row>
    <row r="36" spans="1:11" s="38" customFormat="1" ht="52.5" customHeight="1" x14ac:dyDescent="0.25">
      <c r="A36" s="45" t="s">
        <v>6</v>
      </c>
      <c r="B36" s="11"/>
      <c r="C36" s="11"/>
      <c r="D36" s="11"/>
      <c r="E36" s="5"/>
      <c r="F36" s="19"/>
      <c r="G36" s="5"/>
      <c r="H36" s="230">
        <f>SUM(H35)</f>
        <v>1893024.84</v>
      </c>
      <c r="I36" s="11"/>
      <c r="J36" s="11"/>
      <c r="K36" s="11"/>
    </row>
    <row r="37" spans="1:11" s="23" customFormat="1" ht="42.75" customHeight="1" x14ac:dyDescent="0.25">
      <c r="A37" s="456"/>
      <c r="B37" s="456"/>
      <c r="C37" s="456"/>
      <c r="D37" s="456"/>
      <c r="E37" s="456"/>
      <c r="F37" s="456"/>
      <c r="G37" s="456"/>
      <c r="H37" s="456"/>
      <c r="I37" s="456"/>
      <c r="J37" s="456"/>
      <c r="K37" s="456"/>
    </row>
    <row r="38" spans="1:11" s="38" customFormat="1" ht="42.75" customHeight="1" x14ac:dyDescent="0.25">
      <c r="A38" s="452" t="s">
        <v>18</v>
      </c>
      <c r="B38" s="452"/>
      <c r="C38" s="452"/>
      <c r="D38" s="452"/>
      <c r="E38" s="452"/>
      <c r="F38" s="452"/>
      <c r="G38" s="452"/>
      <c r="H38" s="452"/>
      <c r="I38" s="452"/>
      <c r="J38" s="452"/>
      <c r="K38" s="452"/>
    </row>
    <row r="39" spans="1:11" s="38" customFormat="1" ht="47.25" customHeight="1" x14ac:dyDescent="0.25">
      <c r="A39" s="150" t="s">
        <v>0</v>
      </c>
      <c r="B39" s="150" t="s">
        <v>1</v>
      </c>
      <c r="C39" s="149" t="s">
        <v>12</v>
      </c>
      <c r="D39" s="149" t="s">
        <v>13</v>
      </c>
      <c r="E39" s="150" t="s">
        <v>2</v>
      </c>
      <c r="F39" s="151" t="s">
        <v>3</v>
      </c>
      <c r="G39" s="150" t="s">
        <v>4</v>
      </c>
      <c r="H39" s="230" t="s">
        <v>7</v>
      </c>
      <c r="I39" s="149" t="s">
        <v>14</v>
      </c>
      <c r="J39" s="149" t="s">
        <v>10</v>
      </c>
      <c r="K39" s="149" t="s">
        <v>9</v>
      </c>
    </row>
    <row r="40" spans="1:11" s="38" customFormat="1" ht="48.75" customHeight="1" x14ac:dyDescent="0.25">
      <c r="A40" s="24" t="s">
        <v>186</v>
      </c>
      <c r="B40" s="11" t="s">
        <v>187</v>
      </c>
      <c r="C40" s="32" t="s">
        <v>109</v>
      </c>
      <c r="D40" s="80" t="s">
        <v>141</v>
      </c>
      <c r="E40" s="25" t="s">
        <v>20</v>
      </c>
      <c r="F40" s="6"/>
      <c r="G40" s="6"/>
      <c r="H40" s="286">
        <v>907.4</v>
      </c>
      <c r="I40" s="7" t="s">
        <v>188</v>
      </c>
      <c r="J40" s="2" t="s">
        <v>189</v>
      </c>
      <c r="K40" s="7"/>
    </row>
    <row r="41" spans="1:11" s="38" customFormat="1" ht="48.75" customHeight="1" x14ac:dyDescent="0.25">
      <c r="A41" s="24" t="s">
        <v>190</v>
      </c>
      <c r="B41" s="11" t="s">
        <v>187</v>
      </c>
      <c r="C41" s="32" t="s">
        <v>109</v>
      </c>
      <c r="D41" s="80" t="s">
        <v>141</v>
      </c>
      <c r="E41" s="25" t="s">
        <v>20</v>
      </c>
      <c r="F41" s="6"/>
      <c r="G41" s="6"/>
      <c r="H41" s="286">
        <v>941.69</v>
      </c>
      <c r="I41" s="7" t="s">
        <v>188</v>
      </c>
      <c r="J41" s="2" t="s">
        <v>189</v>
      </c>
      <c r="K41" s="7"/>
    </row>
    <row r="42" spans="1:11" s="38" customFormat="1" ht="48.75" customHeight="1" x14ac:dyDescent="0.25">
      <c r="A42" s="24" t="s">
        <v>191</v>
      </c>
      <c r="B42" s="11" t="s">
        <v>187</v>
      </c>
      <c r="C42" s="32" t="s">
        <v>109</v>
      </c>
      <c r="D42" s="80" t="s">
        <v>141</v>
      </c>
      <c r="E42" s="25" t="s">
        <v>20</v>
      </c>
      <c r="F42" s="6"/>
      <c r="G42" s="6"/>
      <c r="H42" s="286">
        <f>923.74+336.65+923.74</f>
        <v>2184.13</v>
      </c>
      <c r="I42" s="7" t="s">
        <v>188</v>
      </c>
      <c r="J42" s="2" t="s">
        <v>189</v>
      </c>
      <c r="K42" s="7"/>
    </row>
    <row r="43" spans="1:11" s="348" customFormat="1" ht="61.5" customHeight="1" x14ac:dyDescent="0.25">
      <c r="A43" s="346" t="s">
        <v>193</v>
      </c>
      <c r="B43" s="354" t="s">
        <v>439</v>
      </c>
      <c r="C43" s="285" t="s">
        <v>301</v>
      </c>
      <c r="D43" s="319" t="s">
        <v>440</v>
      </c>
      <c r="E43" s="347" t="s">
        <v>441</v>
      </c>
      <c r="F43" s="353">
        <v>8.8800000000000004E-2</v>
      </c>
      <c r="G43" s="353">
        <v>0.32819999999999999</v>
      </c>
      <c r="H43" s="286">
        <v>11544</v>
      </c>
      <c r="I43" s="354" t="s">
        <v>306</v>
      </c>
      <c r="J43" s="354" t="s">
        <v>442</v>
      </c>
      <c r="K43" s="354" t="s">
        <v>315</v>
      </c>
    </row>
    <row r="44" spans="1:11" s="38" customFormat="1" ht="48.75" customHeight="1" x14ac:dyDescent="0.25">
      <c r="A44" s="346" t="s">
        <v>410</v>
      </c>
      <c r="B44" s="11" t="s">
        <v>187</v>
      </c>
      <c r="C44" s="32" t="s">
        <v>109</v>
      </c>
      <c r="D44" s="319" t="s">
        <v>141</v>
      </c>
      <c r="E44" s="347" t="s">
        <v>20</v>
      </c>
      <c r="F44" s="353"/>
      <c r="G44" s="353"/>
      <c r="H44" s="286">
        <v>380</v>
      </c>
      <c r="I44" s="354" t="s">
        <v>188</v>
      </c>
      <c r="J44" s="2" t="s">
        <v>189</v>
      </c>
      <c r="K44" s="354"/>
    </row>
    <row r="45" spans="1:11" s="38" customFormat="1" ht="72" x14ac:dyDescent="0.25">
      <c r="A45" s="282" t="s">
        <v>192</v>
      </c>
      <c r="B45" s="281" t="s">
        <v>311</v>
      </c>
      <c r="C45" s="285" t="s">
        <v>265</v>
      </c>
      <c r="D45" s="284" t="s">
        <v>312</v>
      </c>
      <c r="E45" s="283" t="s">
        <v>20</v>
      </c>
      <c r="F45" s="280">
        <v>0</v>
      </c>
      <c r="G45" s="280">
        <v>0</v>
      </c>
      <c r="H45" s="286">
        <f>1800+630.42+630.42+630.42+630.42+630.42</f>
        <v>4952.1000000000004</v>
      </c>
      <c r="I45" s="281" t="s">
        <v>313</v>
      </c>
      <c r="J45" s="281" t="s">
        <v>314</v>
      </c>
      <c r="K45" s="281" t="s">
        <v>315</v>
      </c>
    </row>
    <row r="46" spans="1:11" s="38" customFormat="1" ht="36" x14ac:dyDescent="0.25">
      <c r="A46" s="8" t="s">
        <v>145</v>
      </c>
      <c r="B46" s="8" t="s">
        <v>145</v>
      </c>
      <c r="C46" s="42" t="s">
        <v>109</v>
      </c>
      <c r="D46" s="42" t="s">
        <v>141</v>
      </c>
      <c r="E46" s="347"/>
      <c r="F46" s="353"/>
      <c r="G46" s="353"/>
      <c r="H46" s="286">
        <v>3880.8</v>
      </c>
      <c r="I46" s="1" t="s">
        <v>69</v>
      </c>
      <c r="J46" s="8" t="s">
        <v>146</v>
      </c>
      <c r="K46" s="2" t="s">
        <v>65</v>
      </c>
    </row>
    <row r="47" spans="1:11" s="348" customFormat="1" ht="54" x14ac:dyDescent="0.25">
      <c r="A47" s="346" t="s">
        <v>497</v>
      </c>
      <c r="B47" s="346" t="s">
        <v>295</v>
      </c>
      <c r="C47" s="360" t="s">
        <v>164</v>
      </c>
      <c r="D47" s="360"/>
      <c r="E47" s="374"/>
      <c r="F47" s="377">
        <v>0</v>
      </c>
      <c r="G47" s="377">
        <v>0</v>
      </c>
      <c r="H47" s="286">
        <f>28799.4+20461.75+39570</f>
        <v>88831.15</v>
      </c>
      <c r="I47" s="373" t="s">
        <v>303</v>
      </c>
      <c r="J47" s="346" t="s">
        <v>515</v>
      </c>
      <c r="K47" s="372" t="s">
        <v>516</v>
      </c>
    </row>
    <row r="48" spans="1:11" s="23" customFormat="1" ht="38.25" customHeight="1" x14ac:dyDescent="0.25">
      <c r="A48" s="8" t="s">
        <v>562</v>
      </c>
      <c r="B48" s="8" t="s">
        <v>682</v>
      </c>
      <c r="C48" s="42" t="s">
        <v>164</v>
      </c>
      <c r="D48" s="42"/>
      <c r="E48" s="9"/>
      <c r="F48" s="10">
        <v>0.5</v>
      </c>
      <c r="G48" s="10">
        <v>1</v>
      </c>
      <c r="H48" s="365">
        <f>28500+29580</f>
        <v>58080</v>
      </c>
      <c r="I48" s="1" t="s">
        <v>626</v>
      </c>
      <c r="J48" s="8" t="s">
        <v>682</v>
      </c>
      <c r="K48" s="2" t="s">
        <v>683</v>
      </c>
    </row>
    <row r="49" spans="1:11" s="391" customFormat="1" ht="38.25" customHeight="1" x14ac:dyDescent="0.25">
      <c r="A49" s="413" t="s">
        <v>655</v>
      </c>
      <c r="B49" s="413" t="s">
        <v>682</v>
      </c>
      <c r="C49" s="393" t="s">
        <v>164</v>
      </c>
      <c r="D49" s="393"/>
      <c r="E49" s="414"/>
      <c r="F49" s="410">
        <v>0.51</v>
      </c>
      <c r="G49" s="410">
        <v>1</v>
      </c>
      <c r="H49" s="286">
        <f>96900+95304</f>
        <v>192204</v>
      </c>
      <c r="I49" s="397" t="s">
        <v>626</v>
      </c>
      <c r="J49" s="413" t="s">
        <v>682</v>
      </c>
      <c r="K49" s="411" t="s">
        <v>698</v>
      </c>
    </row>
    <row r="50" spans="1:11" s="23" customFormat="1" ht="38.25" customHeight="1" x14ac:dyDescent="0.25">
      <c r="A50" s="8" t="s">
        <v>181</v>
      </c>
      <c r="B50" s="8" t="s">
        <v>295</v>
      </c>
      <c r="C50" s="42" t="s">
        <v>164</v>
      </c>
      <c r="D50" s="42"/>
      <c r="E50" s="9"/>
      <c r="F50" s="10">
        <v>0</v>
      </c>
      <c r="G50" s="10">
        <v>1.35E-2</v>
      </c>
      <c r="H50" s="365">
        <v>10830</v>
      </c>
      <c r="I50" s="1"/>
      <c r="J50" s="8" t="s">
        <v>684</v>
      </c>
      <c r="K50" s="2" t="s">
        <v>315</v>
      </c>
    </row>
    <row r="51" spans="1:11" s="391" customFormat="1" ht="38.25" customHeight="1" x14ac:dyDescent="0.25">
      <c r="A51" s="413" t="s">
        <v>746</v>
      </c>
      <c r="B51" s="413" t="s">
        <v>748</v>
      </c>
      <c r="C51" s="393" t="s">
        <v>164</v>
      </c>
      <c r="D51" s="393"/>
      <c r="E51" s="414"/>
      <c r="F51" s="410"/>
      <c r="G51" s="410"/>
      <c r="H51" s="286">
        <v>88000</v>
      </c>
      <c r="I51" s="397" t="s">
        <v>626</v>
      </c>
      <c r="J51" s="413" t="s">
        <v>749</v>
      </c>
      <c r="K51" s="411" t="s">
        <v>698</v>
      </c>
    </row>
    <row r="52" spans="1:11" ht="48.75" customHeight="1" x14ac:dyDescent="0.25">
      <c r="A52" s="53" t="s">
        <v>6</v>
      </c>
      <c r="B52" s="11"/>
      <c r="C52" s="11"/>
      <c r="D52" s="11"/>
      <c r="E52" s="5"/>
      <c r="F52" s="44"/>
      <c r="G52" s="44"/>
      <c r="H52" s="230">
        <f>SUM(H40:H51)</f>
        <v>462735.27</v>
      </c>
      <c r="I52" s="11"/>
      <c r="J52" s="11"/>
      <c r="K52" s="30"/>
    </row>
    <row r="53" spans="1:11" ht="39.75" customHeight="1" x14ac:dyDescent="0.25">
      <c r="A53" s="457"/>
      <c r="B53" s="457"/>
      <c r="C53" s="457"/>
      <c r="D53" s="457"/>
      <c r="E53" s="457"/>
      <c r="F53" s="457"/>
      <c r="G53" s="457"/>
      <c r="H53" s="457"/>
      <c r="I53" s="457"/>
      <c r="J53" s="457"/>
      <c r="K53" s="457"/>
    </row>
    <row r="54" spans="1:11" ht="39.75" customHeight="1" x14ac:dyDescent="0.25">
      <c r="A54" s="452" t="s">
        <v>19</v>
      </c>
      <c r="B54" s="452"/>
      <c r="C54" s="452"/>
      <c r="D54" s="452"/>
      <c r="E54" s="452"/>
      <c r="F54" s="452"/>
      <c r="G54" s="452"/>
      <c r="H54" s="452"/>
      <c r="I54" s="452"/>
      <c r="J54" s="452"/>
      <c r="K54" s="452"/>
    </row>
    <row r="55" spans="1:11" ht="39.75" customHeight="1" x14ac:dyDescent="0.25">
      <c r="A55" s="150" t="s">
        <v>0</v>
      </c>
      <c r="B55" s="150" t="s">
        <v>1</v>
      </c>
      <c r="C55" s="149" t="s">
        <v>12</v>
      </c>
      <c r="D55" s="149" t="s">
        <v>13</v>
      </c>
      <c r="E55" s="150" t="s">
        <v>2</v>
      </c>
      <c r="F55" s="151" t="s">
        <v>3</v>
      </c>
      <c r="G55" s="150" t="s">
        <v>4</v>
      </c>
      <c r="H55" s="230" t="s">
        <v>7</v>
      </c>
      <c r="I55" s="149" t="s">
        <v>14</v>
      </c>
      <c r="J55" s="149" t="s">
        <v>10</v>
      </c>
      <c r="K55" s="149" t="s">
        <v>9</v>
      </c>
    </row>
    <row r="56" spans="1:11" ht="39.75" customHeight="1" x14ac:dyDescent="0.25">
      <c r="A56" s="85"/>
      <c r="B56" s="8"/>
      <c r="C56" s="42"/>
      <c r="D56" s="42"/>
      <c r="E56" s="9"/>
      <c r="F56" s="67"/>
      <c r="G56" s="10"/>
      <c r="H56" s="303">
        <v>0</v>
      </c>
      <c r="I56" s="8"/>
      <c r="J56" s="2"/>
      <c r="K56" s="2"/>
    </row>
    <row r="57" spans="1:11" ht="39.75" customHeight="1" x14ac:dyDescent="0.25">
      <c r="A57" s="53"/>
      <c r="B57" s="4"/>
      <c r="C57" s="4"/>
      <c r="D57" s="4"/>
      <c r="E57" s="5"/>
      <c r="F57" s="19"/>
      <c r="G57" s="5"/>
      <c r="H57" s="303">
        <v>0</v>
      </c>
      <c r="I57" s="11"/>
      <c r="J57" s="11"/>
      <c r="K57" s="19"/>
    </row>
    <row r="58" spans="1:11" ht="44.25" customHeight="1" x14ac:dyDescent="0.25">
      <c r="A58" s="8"/>
      <c r="B58" s="8"/>
      <c r="C58" s="42"/>
      <c r="D58" s="42"/>
      <c r="E58" s="2"/>
      <c r="F58" s="86"/>
      <c r="G58" s="86"/>
      <c r="H58" s="365"/>
      <c r="I58" s="2"/>
      <c r="J58" s="2"/>
      <c r="K58" s="2"/>
    </row>
    <row r="59" spans="1:11" ht="44.25" customHeight="1" x14ac:dyDescent="0.25">
      <c r="A59" s="53" t="s">
        <v>6</v>
      </c>
      <c r="B59" s="4"/>
      <c r="C59" s="4"/>
      <c r="D59" s="4"/>
      <c r="E59" s="5"/>
      <c r="F59" s="19"/>
      <c r="G59" s="5"/>
      <c r="H59" s="230">
        <f>SUM(H56:H58)</f>
        <v>0</v>
      </c>
      <c r="I59" s="11"/>
      <c r="J59" s="11"/>
      <c r="K59" s="19"/>
    </row>
    <row r="60" spans="1:11" ht="44.25" customHeight="1" x14ac:dyDescent="0.25">
      <c r="A60" s="121"/>
      <c r="B60" s="113"/>
      <c r="C60" s="113"/>
      <c r="D60" s="113"/>
      <c r="E60" s="187"/>
      <c r="F60" s="50"/>
      <c r="G60" s="187"/>
      <c r="H60" s="366"/>
      <c r="I60" s="39"/>
      <c r="J60" s="39"/>
      <c r="K60" s="50"/>
    </row>
    <row r="61" spans="1:11" s="199" customFormat="1" ht="60.75" customHeight="1" x14ac:dyDescent="0.25">
      <c r="A61" s="188" t="s">
        <v>8</v>
      </c>
      <c r="B61" s="194"/>
      <c r="C61" s="194"/>
      <c r="D61" s="194"/>
      <c r="E61" s="195"/>
      <c r="F61" s="196"/>
      <c r="G61" s="195"/>
      <c r="H61" s="367">
        <f>+H59+H52+H36+H31+H24+H18</f>
        <v>2736463.29</v>
      </c>
      <c r="I61" s="197"/>
      <c r="J61" s="197"/>
      <c r="K61" s="198"/>
    </row>
    <row r="62" spans="1:11" ht="44.25" customHeight="1" x14ac:dyDescent="0.25">
      <c r="A62" s="454"/>
      <c r="B62" s="455"/>
      <c r="C62" s="455"/>
      <c r="D62" s="455"/>
      <c r="E62" s="455"/>
      <c r="F62" s="455"/>
      <c r="G62" s="455"/>
      <c r="H62" s="455"/>
    </row>
  </sheetData>
  <mergeCells count="18">
    <mergeCell ref="A1:H1"/>
    <mergeCell ref="A7:K7"/>
    <mergeCell ref="A8:K8"/>
    <mergeCell ref="A9:K9"/>
    <mergeCell ref="A12:K12"/>
    <mergeCell ref="A10:K10"/>
    <mergeCell ref="A62:H62"/>
    <mergeCell ref="A25:K25"/>
    <mergeCell ref="A11:K11"/>
    <mergeCell ref="A19:K19"/>
    <mergeCell ref="A20:K20"/>
    <mergeCell ref="A33:K33"/>
    <mergeCell ref="A32:K32"/>
    <mergeCell ref="A37:K37"/>
    <mergeCell ref="A38:K38"/>
    <mergeCell ref="A53:K53"/>
    <mergeCell ref="A54:K54"/>
    <mergeCell ref="A26:K26"/>
  </mergeCells>
  <pageMargins left="0.7" right="0.7" top="0.75" bottom="0.75" header="0.3" footer="0.3"/>
  <pageSetup paperSize="8" scale="54" orientation="landscape" r:id="rId1"/>
  <rowBreaks count="2" manualBreakCount="2">
    <brk id="19" max="16383" man="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view="pageBreakPreview" topLeftCell="A73" zoomScale="60" zoomScaleNormal="70" workbookViewId="0">
      <selection activeCell="G70" sqref="G70"/>
    </sheetView>
  </sheetViews>
  <sheetFormatPr defaultRowHeight="18" x14ac:dyDescent="0.25"/>
  <cols>
    <col min="1" max="1" width="46.42578125" style="29" customWidth="1"/>
    <col min="2" max="2" width="51.85546875" style="60" customWidth="1"/>
    <col min="3" max="3" width="14.85546875" style="60" customWidth="1"/>
    <col min="4" max="4" width="14.28515625" style="29" customWidth="1"/>
    <col min="5" max="5" width="16.85546875" style="59" customWidth="1"/>
    <col min="6" max="6" width="13.140625" style="29" customWidth="1"/>
    <col min="7" max="7" width="12.85546875" style="59" customWidth="1"/>
    <col min="8" max="8" width="28.5703125" style="88" customWidth="1"/>
    <col min="9" max="9" width="39.7109375" style="60" customWidth="1"/>
    <col min="10" max="10" width="72.5703125" style="60" customWidth="1"/>
    <col min="11" max="11" width="21.140625" style="29" customWidth="1"/>
    <col min="12" max="16384" width="9.140625" style="29"/>
  </cols>
  <sheetData>
    <row r="1" spans="1:11" s="27" customFormat="1" x14ac:dyDescent="0.25">
      <c r="A1" s="450"/>
      <c r="B1" s="450"/>
      <c r="C1" s="450"/>
      <c r="D1" s="450"/>
      <c r="E1" s="450"/>
      <c r="F1" s="450"/>
      <c r="G1" s="450"/>
      <c r="H1" s="450"/>
      <c r="I1" s="26"/>
      <c r="J1" s="26"/>
    </row>
    <row r="2" spans="1:11" s="27" customFormat="1" x14ac:dyDescent="0.25">
      <c r="A2" s="28"/>
      <c r="B2" s="28"/>
      <c r="C2" s="28"/>
      <c r="E2" s="28"/>
      <c r="F2" s="28"/>
      <c r="G2" s="28"/>
      <c r="H2" s="28"/>
      <c r="I2" s="26"/>
      <c r="J2" s="26"/>
    </row>
    <row r="3" spans="1:11" s="27" customFormat="1" x14ac:dyDescent="0.25">
      <c r="A3" s="28"/>
      <c r="B3" s="28"/>
      <c r="C3" s="28"/>
      <c r="E3" s="28"/>
      <c r="F3" s="28"/>
      <c r="G3" s="28"/>
      <c r="H3" s="28"/>
      <c r="I3" s="26"/>
      <c r="J3" s="26"/>
    </row>
    <row r="4" spans="1:11" s="27" customFormat="1" x14ac:dyDescent="0.25">
      <c r="A4" s="28"/>
      <c r="B4" s="28"/>
      <c r="C4" s="28"/>
      <c r="E4" s="28"/>
      <c r="F4" s="28"/>
      <c r="G4" s="28"/>
      <c r="H4" s="28"/>
      <c r="I4" s="26"/>
      <c r="J4" s="26"/>
    </row>
    <row r="5" spans="1:11" s="27" customFormat="1" x14ac:dyDescent="0.25">
      <c r="A5" s="28"/>
      <c r="B5" s="28"/>
      <c r="C5" s="28"/>
      <c r="E5" s="28"/>
      <c r="F5" s="28"/>
      <c r="G5" s="28"/>
      <c r="H5" s="28"/>
      <c r="I5" s="26"/>
      <c r="J5" s="26"/>
    </row>
    <row r="6" spans="1:11" s="27" customFormat="1" x14ac:dyDescent="0.25">
      <c r="A6" s="28"/>
      <c r="B6" s="28"/>
      <c r="C6" s="28"/>
      <c r="E6" s="28"/>
      <c r="F6" s="28"/>
      <c r="G6" s="28"/>
      <c r="H6" s="28"/>
      <c r="I6" s="26"/>
      <c r="J6" s="26"/>
    </row>
    <row r="7" spans="1:11" s="27" customFormat="1" x14ac:dyDescent="0.25">
      <c r="A7" s="28"/>
      <c r="B7" s="28"/>
      <c r="C7" s="28"/>
      <c r="E7" s="28"/>
      <c r="F7" s="28"/>
      <c r="G7" s="28"/>
      <c r="H7" s="28"/>
      <c r="I7" s="26"/>
      <c r="J7" s="26"/>
    </row>
    <row r="8" spans="1:11" ht="32.25" customHeight="1" x14ac:dyDescent="0.25">
      <c r="A8" s="450"/>
      <c r="B8" s="450"/>
      <c r="C8" s="450"/>
      <c r="D8" s="450"/>
      <c r="E8" s="450"/>
      <c r="F8" s="450"/>
      <c r="G8" s="450"/>
      <c r="H8" s="450"/>
      <c r="I8" s="450"/>
      <c r="J8" s="450"/>
      <c r="K8" s="450"/>
    </row>
    <row r="9" spans="1:11" ht="42" customHeight="1" x14ac:dyDescent="0.25">
      <c r="A9" s="451" t="s">
        <v>87</v>
      </c>
      <c r="B9" s="451"/>
      <c r="C9" s="451"/>
      <c r="D9" s="451"/>
      <c r="E9" s="451"/>
      <c r="F9" s="451"/>
      <c r="G9" s="451"/>
      <c r="H9" s="451"/>
      <c r="I9" s="451"/>
      <c r="J9" s="451"/>
      <c r="K9" s="451"/>
    </row>
    <row r="10" spans="1:11" ht="29.1" customHeight="1" x14ac:dyDescent="0.25">
      <c r="A10" s="452"/>
      <c r="B10" s="452"/>
      <c r="C10" s="452"/>
      <c r="D10" s="452"/>
      <c r="E10" s="452"/>
      <c r="F10" s="452"/>
      <c r="G10" s="452"/>
      <c r="H10" s="452"/>
      <c r="I10" s="452"/>
      <c r="J10" s="452"/>
      <c r="K10" s="452"/>
    </row>
    <row r="11" spans="1:11" ht="41.25" customHeight="1" x14ac:dyDescent="0.25">
      <c r="A11" s="452" t="s">
        <v>16</v>
      </c>
      <c r="B11" s="452"/>
      <c r="C11" s="452"/>
      <c r="D11" s="452"/>
      <c r="E11" s="452"/>
      <c r="F11" s="452"/>
      <c r="G11" s="452"/>
      <c r="H11" s="452"/>
      <c r="I11" s="452"/>
      <c r="J11" s="452"/>
      <c r="K11" s="452"/>
    </row>
    <row r="12" spans="1:11" s="96" customFormat="1" ht="60.75" customHeight="1" x14ac:dyDescent="0.25">
      <c r="A12" s="145" t="s">
        <v>0</v>
      </c>
      <c r="B12" s="145" t="s">
        <v>1</v>
      </c>
      <c r="C12" s="146" t="s">
        <v>12</v>
      </c>
      <c r="D12" s="147" t="s">
        <v>13</v>
      </c>
      <c r="E12" s="145" t="s">
        <v>2</v>
      </c>
      <c r="F12" s="147" t="s">
        <v>3</v>
      </c>
      <c r="G12" s="145" t="s">
        <v>4</v>
      </c>
      <c r="H12" s="148" t="s">
        <v>5</v>
      </c>
      <c r="I12" s="149" t="s">
        <v>14</v>
      </c>
      <c r="J12" s="149" t="s">
        <v>10</v>
      </c>
      <c r="K12" s="149" t="s">
        <v>9</v>
      </c>
    </row>
    <row r="13" spans="1:11" s="96" customFormat="1" ht="60.75" customHeight="1" x14ac:dyDescent="0.25">
      <c r="A13" s="3" t="s">
        <v>90</v>
      </c>
      <c r="B13" s="138" t="s">
        <v>88</v>
      </c>
      <c r="C13" s="80" t="s">
        <v>148</v>
      </c>
      <c r="D13" s="248" t="s">
        <v>141</v>
      </c>
      <c r="E13" s="16" t="s">
        <v>20</v>
      </c>
      <c r="F13" s="6">
        <v>0</v>
      </c>
      <c r="G13" s="6">
        <v>0</v>
      </c>
      <c r="H13" s="14">
        <f>130000+130000+625000+130000*2</f>
        <v>1145000</v>
      </c>
      <c r="I13" s="2" t="s">
        <v>89</v>
      </c>
      <c r="J13" s="138" t="s">
        <v>91</v>
      </c>
      <c r="K13" s="2" t="s">
        <v>61</v>
      </c>
    </row>
    <row r="14" spans="1:11" s="96" customFormat="1" ht="60.75" customHeight="1" x14ac:dyDescent="0.25">
      <c r="A14" s="3" t="s">
        <v>147</v>
      </c>
      <c r="B14" s="138" t="s">
        <v>51</v>
      </c>
      <c r="C14" s="80" t="s">
        <v>92</v>
      </c>
      <c r="D14" s="248" t="s">
        <v>93</v>
      </c>
      <c r="E14" s="16" t="s">
        <v>73</v>
      </c>
      <c r="F14" s="6">
        <v>0</v>
      </c>
      <c r="G14" s="6">
        <v>0.85</v>
      </c>
      <c r="H14" s="14">
        <v>345334.5</v>
      </c>
      <c r="I14" s="2" t="s">
        <v>52</v>
      </c>
      <c r="J14" s="138" t="s">
        <v>94</v>
      </c>
      <c r="K14" s="2" t="s">
        <v>95</v>
      </c>
    </row>
    <row r="15" spans="1:11" s="96" customFormat="1" ht="60.75" customHeight="1" x14ac:dyDescent="0.25">
      <c r="A15" s="316" t="s">
        <v>195</v>
      </c>
      <c r="B15" s="320" t="s">
        <v>357</v>
      </c>
      <c r="C15" s="319" t="s">
        <v>358</v>
      </c>
      <c r="D15" s="321" t="s">
        <v>359</v>
      </c>
      <c r="E15" s="315" t="s">
        <v>360</v>
      </c>
      <c r="F15" s="313">
        <v>0</v>
      </c>
      <c r="G15" s="313">
        <v>0.85</v>
      </c>
      <c r="H15" s="264">
        <f>369190.8+1293.65+123063.6</f>
        <v>493548.05000000005</v>
      </c>
      <c r="I15" s="314" t="s">
        <v>52</v>
      </c>
      <c r="J15" s="320" t="s">
        <v>361</v>
      </c>
      <c r="K15" s="314" t="s">
        <v>95</v>
      </c>
    </row>
    <row r="16" spans="1:11" s="96" customFormat="1" ht="126" x14ac:dyDescent="0.25">
      <c r="A16" s="317" t="s">
        <v>194</v>
      </c>
      <c r="B16" s="314" t="s">
        <v>362</v>
      </c>
      <c r="C16" s="314" t="s">
        <v>363</v>
      </c>
      <c r="D16" s="317" t="s">
        <v>364</v>
      </c>
      <c r="E16" s="318" t="s">
        <v>365</v>
      </c>
      <c r="F16" s="313">
        <v>0</v>
      </c>
      <c r="G16" s="313">
        <v>0.4</v>
      </c>
      <c r="H16" s="264">
        <v>300000</v>
      </c>
      <c r="I16" s="314" t="s">
        <v>366</v>
      </c>
      <c r="J16" s="314" t="s">
        <v>367</v>
      </c>
      <c r="K16" s="314" t="s">
        <v>368</v>
      </c>
    </row>
    <row r="17" spans="1:11" s="375" customFormat="1" ht="54" x14ac:dyDescent="0.25">
      <c r="A17" s="373" t="s">
        <v>394</v>
      </c>
      <c r="B17" s="372" t="s">
        <v>470</v>
      </c>
      <c r="C17" s="372" t="s">
        <v>377</v>
      </c>
      <c r="D17" s="373" t="s">
        <v>31</v>
      </c>
      <c r="E17" s="374" t="s">
        <v>471</v>
      </c>
      <c r="F17" s="371">
        <v>0</v>
      </c>
      <c r="G17" s="371">
        <v>0</v>
      </c>
      <c r="H17" s="376">
        <f>710000*2</f>
        <v>1420000</v>
      </c>
      <c r="I17" s="372" t="s">
        <v>89</v>
      </c>
      <c r="J17" s="372" t="s">
        <v>472</v>
      </c>
      <c r="K17" s="372" t="s">
        <v>368</v>
      </c>
    </row>
    <row r="18" spans="1:11" s="375" customFormat="1" ht="36" x14ac:dyDescent="0.25">
      <c r="A18" s="373" t="s">
        <v>395</v>
      </c>
      <c r="B18" s="372" t="s">
        <v>473</v>
      </c>
      <c r="C18" s="372" t="s">
        <v>474</v>
      </c>
      <c r="D18" s="373" t="s">
        <v>31</v>
      </c>
      <c r="E18" s="374" t="s">
        <v>471</v>
      </c>
      <c r="F18" s="371">
        <v>0</v>
      </c>
      <c r="G18" s="371">
        <v>0</v>
      </c>
      <c r="H18" s="376">
        <f>550000*2</f>
        <v>1100000</v>
      </c>
      <c r="I18" s="372" t="s">
        <v>89</v>
      </c>
      <c r="J18" s="372" t="s">
        <v>475</v>
      </c>
      <c r="K18" s="372" t="s">
        <v>368</v>
      </c>
    </row>
    <row r="19" spans="1:11" s="375" customFormat="1" ht="36" x14ac:dyDescent="0.25">
      <c r="A19" s="373" t="s">
        <v>396</v>
      </c>
      <c r="B19" s="372" t="s">
        <v>476</v>
      </c>
      <c r="C19" s="372" t="s">
        <v>109</v>
      </c>
      <c r="D19" s="373" t="s">
        <v>31</v>
      </c>
      <c r="E19" s="374" t="s">
        <v>471</v>
      </c>
      <c r="F19" s="371">
        <v>0</v>
      </c>
      <c r="G19" s="371">
        <v>0</v>
      </c>
      <c r="H19" s="376">
        <f>234375+140625+93750+140625</f>
        <v>609375</v>
      </c>
      <c r="I19" s="372" t="s">
        <v>89</v>
      </c>
      <c r="J19" s="372" t="s">
        <v>477</v>
      </c>
      <c r="K19" s="372" t="s">
        <v>368</v>
      </c>
    </row>
    <row r="20" spans="1:11" s="399" customFormat="1" ht="54" x14ac:dyDescent="0.25">
      <c r="A20" s="397" t="s">
        <v>486</v>
      </c>
      <c r="B20" s="396" t="s">
        <v>538</v>
      </c>
      <c r="C20" s="396" t="s">
        <v>109</v>
      </c>
      <c r="D20" s="397" t="s">
        <v>31</v>
      </c>
      <c r="E20" s="398" t="s">
        <v>471</v>
      </c>
      <c r="F20" s="395">
        <v>0</v>
      </c>
      <c r="G20" s="395">
        <v>0</v>
      </c>
      <c r="H20" s="400">
        <f>640000+640000</f>
        <v>1280000</v>
      </c>
      <c r="I20" s="396" t="s">
        <v>89</v>
      </c>
      <c r="J20" s="396" t="s">
        <v>539</v>
      </c>
      <c r="K20" s="396" t="s">
        <v>368</v>
      </c>
    </row>
    <row r="21" spans="1:11" s="402" customFormat="1" ht="36" x14ac:dyDescent="0.25">
      <c r="A21" s="397" t="s">
        <v>553</v>
      </c>
      <c r="B21" s="411" t="s">
        <v>617</v>
      </c>
      <c r="C21" s="411" t="s">
        <v>618</v>
      </c>
      <c r="D21" s="397" t="s">
        <v>273</v>
      </c>
      <c r="E21" s="414" t="s">
        <v>619</v>
      </c>
      <c r="F21" s="410">
        <v>0.1</v>
      </c>
      <c r="G21" s="410">
        <v>0.8</v>
      </c>
      <c r="H21" s="400">
        <v>274620.19</v>
      </c>
      <c r="I21" s="411" t="s">
        <v>620</v>
      </c>
      <c r="J21" s="411" t="s">
        <v>621</v>
      </c>
      <c r="K21" s="411" t="s">
        <v>622</v>
      </c>
    </row>
    <row r="22" spans="1:11" s="421" customFormat="1" ht="36" x14ac:dyDescent="0.25">
      <c r="A22" s="1" t="s">
        <v>647</v>
      </c>
      <c r="B22" s="2" t="s">
        <v>665</v>
      </c>
      <c r="C22" s="2" t="s">
        <v>666</v>
      </c>
      <c r="D22" s="1" t="s">
        <v>471</v>
      </c>
      <c r="E22" s="9"/>
      <c r="F22" s="10">
        <v>0</v>
      </c>
      <c r="G22" s="10">
        <v>0.75</v>
      </c>
      <c r="H22" s="14">
        <v>110000</v>
      </c>
      <c r="I22" s="2" t="s">
        <v>620</v>
      </c>
      <c r="J22" s="2" t="s">
        <v>614</v>
      </c>
      <c r="K22" s="2" t="s">
        <v>368</v>
      </c>
    </row>
    <row r="23" spans="1:11" s="421" customFormat="1" ht="72" x14ac:dyDescent="0.25">
      <c r="A23" s="397" t="s">
        <v>724</v>
      </c>
      <c r="B23" s="411" t="s">
        <v>739</v>
      </c>
      <c r="C23" s="411" t="s">
        <v>740</v>
      </c>
      <c r="D23" s="397" t="s">
        <v>141</v>
      </c>
      <c r="E23" s="414" t="s">
        <v>274</v>
      </c>
      <c r="F23" s="410">
        <v>0</v>
      </c>
      <c r="G23" s="410">
        <v>0</v>
      </c>
      <c r="H23" s="400">
        <f>41333.37</f>
        <v>41333.370000000003</v>
      </c>
      <c r="I23" s="411" t="s">
        <v>620</v>
      </c>
      <c r="J23" s="411" t="s">
        <v>741</v>
      </c>
      <c r="K23" s="411" t="s">
        <v>95</v>
      </c>
    </row>
    <row r="24" spans="1:11" s="421" customFormat="1" ht="36" x14ac:dyDescent="0.25">
      <c r="A24" s="397" t="s">
        <v>178</v>
      </c>
      <c r="B24" s="411" t="s">
        <v>742</v>
      </c>
      <c r="C24" s="411" t="s">
        <v>743</v>
      </c>
      <c r="D24" s="397" t="s">
        <v>141</v>
      </c>
      <c r="E24" s="414"/>
      <c r="F24" s="410">
        <v>0</v>
      </c>
      <c r="G24" s="410">
        <v>0</v>
      </c>
      <c r="H24" s="400">
        <v>316806</v>
      </c>
      <c r="I24" s="411" t="s">
        <v>620</v>
      </c>
      <c r="J24" s="411" t="s">
        <v>744</v>
      </c>
      <c r="K24" s="411" t="s">
        <v>45</v>
      </c>
    </row>
    <row r="25" spans="1:11" s="50" customFormat="1" ht="41.25" customHeight="1" x14ac:dyDescent="0.25">
      <c r="A25" s="36" t="s">
        <v>6</v>
      </c>
      <c r="B25" s="2"/>
      <c r="C25" s="2"/>
      <c r="D25" s="1"/>
      <c r="E25" s="9"/>
      <c r="F25" s="1"/>
      <c r="G25" s="9"/>
      <c r="H25" s="75">
        <f>SUM(H13:H24)</f>
        <v>7436017.1100000003</v>
      </c>
      <c r="I25" s="11"/>
      <c r="J25" s="11"/>
      <c r="K25" s="11"/>
    </row>
    <row r="26" spans="1:11" s="50" customFormat="1" ht="34.5" customHeight="1" x14ac:dyDescent="0.25">
      <c r="A26" s="456"/>
      <c r="B26" s="456"/>
      <c r="C26" s="456"/>
      <c r="D26" s="456"/>
      <c r="E26" s="456"/>
      <c r="F26" s="456"/>
      <c r="G26" s="456"/>
      <c r="H26" s="456"/>
      <c r="I26" s="456"/>
      <c r="J26" s="456"/>
      <c r="K26" s="456"/>
    </row>
    <row r="27" spans="1:11" s="50" customFormat="1" ht="36" customHeight="1" x14ac:dyDescent="0.25">
      <c r="A27" s="458" t="s">
        <v>84</v>
      </c>
      <c r="B27" s="458"/>
      <c r="C27" s="458"/>
      <c r="D27" s="458"/>
      <c r="E27" s="458"/>
      <c r="F27" s="458"/>
      <c r="G27" s="458"/>
      <c r="H27" s="458"/>
      <c r="I27" s="458"/>
      <c r="J27" s="458"/>
      <c r="K27" s="458"/>
    </row>
    <row r="28" spans="1:11" s="50" customFormat="1" ht="51" customHeight="1" x14ac:dyDescent="0.25">
      <c r="A28" s="150" t="s">
        <v>0</v>
      </c>
      <c r="B28" s="150" t="s">
        <v>1</v>
      </c>
      <c r="C28" s="149" t="s">
        <v>12</v>
      </c>
      <c r="D28" s="151" t="s">
        <v>13</v>
      </c>
      <c r="E28" s="150" t="s">
        <v>2</v>
      </c>
      <c r="F28" s="151" t="s">
        <v>3</v>
      </c>
      <c r="G28" s="150" t="s">
        <v>4</v>
      </c>
      <c r="H28" s="75" t="s">
        <v>7</v>
      </c>
      <c r="I28" s="149" t="s">
        <v>14</v>
      </c>
      <c r="J28" s="149" t="s">
        <v>10</v>
      </c>
      <c r="K28" s="149" t="s">
        <v>9</v>
      </c>
    </row>
    <row r="29" spans="1:11" s="50" customFormat="1" ht="47.25" customHeight="1" x14ac:dyDescent="0.25">
      <c r="A29" s="18"/>
      <c r="B29" s="24"/>
      <c r="C29" s="76"/>
      <c r="D29" s="249"/>
      <c r="E29" s="25"/>
      <c r="F29" s="6"/>
      <c r="G29" s="6"/>
      <c r="H29" s="71">
        <v>0</v>
      </c>
      <c r="I29" s="2"/>
      <c r="J29" s="11"/>
      <c r="K29" s="11" t="s">
        <v>46</v>
      </c>
    </row>
    <row r="30" spans="1:11" s="50" customFormat="1" ht="45" customHeight="1" x14ac:dyDescent="0.25">
      <c r="A30" s="18"/>
      <c r="B30" s="24"/>
      <c r="C30" s="80"/>
      <c r="D30" s="248"/>
      <c r="E30" s="25"/>
      <c r="F30" s="6"/>
      <c r="G30" s="6"/>
      <c r="H30" s="70">
        <v>0</v>
      </c>
      <c r="I30" s="78"/>
      <c r="J30" s="7"/>
      <c r="K30" s="7" t="s">
        <v>46</v>
      </c>
    </row>
    <row r="31" spans="1:11" s="50" customFormat="1" ht="30.75" customHeight="1" x14ac:dyDescent="0.25">
      <c r="A31" s="18"/>
      <c r="B31" s="7"/>
      <c r="C31" s="80"/>
      <c r="D31" s="248"/>
      <c r="E31" s="25"/>
      <c r="F31" s="6"/>
      <c r="G31" s="6"/>
      <c r="H31" s="70"/>
      <c r="I31" s="78"/>
      <c r="J31" s="7"/>
      <c r="K31" s="7"/>
    </row>
    <row r="32" spans="1:11" s="50" customFormat="1" ht="39.75" customHeight="1" x14ac:dyDescent="0.25">
      <c r="A32" s="43" t="s">
        <v>6</v>
      </c>
      <c r="B32" s="11"/>
      <c r="C32" s="11"/>
      <c r="D32" s="19"/>
      <c r="E32" s="5"/>
      <c r="F32" s="44"/>
      <c r="G32" s="44"/>
      <c r="H32" s="75">
        <f>SUM(H29:H31)</f>
        <v>0</v>
      </c>
      <c r="I32" s="11"/>
      <c r="J32" s="11"/>
      <c r="K32" s="30"/>
    </row>
    <row r="33" spans="1:11" s="50" customFormat="1" ht="37.5" customHeight="1" x14ac:dyDescent="0.25">
      <c r="A33" s="79"/>
      <c r="B33" s="79"/>
      <c r="C33" s="79"/>
      <c r="D33" s="79"/>
      <c r="E33" s="79"/>
      <c r="F33" s="79"/>
      <c r="G33" s="79"/>
      <c r="H33" s="79"/>
      <c r="I33" s="79"/>
      <c r="J33" s="79"/>
      <c r="K33" s="79"/>
    </row>
    <row r="34" spans="1:11" s="50" customFormat="1" ht="29.1" customHeight="1" x14ac:dyDescent="0.25">
      <c r="A34" s="460"/>
      <c r="B34" s="460"/>
      <c r="C34" s="460"/>
      <c r="D34" s="460"/>
      <c r="E34" s="460"/>
      <c r="F34" s="460"/>
      <c r="G34" s="460"/>
      <c r="H34" s="460"/>
      <c r="I34" s="460"/>
      <c r="J34" s="460"/>
      <c r="K34" s="460"/>
    </row>
    <row r="35" spans="1:11" s="50" customFormat="1" ht="49.5" customHeight="1" x14ac:dyDescent="0.25">
      <c r="A35" s="456" t="s">
        <v>85</v>
      </c>
      <c r="B35" s="456"/>
      <c r="C35" s="456"/>
      <c r="D35" s="456"/>
      <c r="E35" s="456"/>
      <c r="F35" s="456"/>
      <c r="G35" s="456"/>
      <c r="H35" s="456"/>
      <c r="I35" s="456"/>
      <c r="J35" s="456"/>
      <c r="K35" s="456"/>
    </row>
    <row r="36" spans="1:11" s="50" customFormat="1" ht="36" x14ac:dyDescent="0.25">
      <c r="A36" s="150" t="s">
        <v>0</v>
      </c>
      <c r="B36" s="150" t="s">
        <v>1</v>
      </c>
      <c r="C36" s="149" t="s">
        <v>12</v>
      </c>
      <c r="D36" s="151" t="s">
        <v>13</v>
      </c>
      <c r="E36" s="150" t="s">
        <v>2</v>
      </c>
      <c r="F36" s="151" t="s">
        <v>3</v>
      </c>
      <c r="G36" s="150" t="s">
        <v>4</v>
      </c>
      <c r="H36" s="75" t="s">
        <v>7</v>
      </c>
      <c r="I36" s="149" t="s">
        <v>14</v>
      </c>
      <c r="J36" s="149" t="s">
        <v>10</v>
      </c>
      <c r="K36" s="149" t="s">
        <v>9</v>
      </c>
    </row>
    <row r="37" spans="1:11" s="50" customFormat="1" ht="39" customHeight="1" x14ac:dyDescent="0.25">
      <c r="A37" s="47"/>
      <c r="B37" s="47"/>
      <c r="C37" s="190"/>
      <c r="D37" s="250"/>
      <c r="E37" s="47"/>
      <c r="F37" s="48"/>
      <c r="G37" s="47"/>
      <c r="H37" s="37">
        <v>0</v>
      </c>
      <c r="I37" s="189"/>
      <c r="J37" s="189"/>
      <c r="K37" s="149"/>
    </row>
    <row r="38" spans="1:11" s="50" customFormat="1" ht="39" customHeight="1" x14ac:dyDescent="0.25">
      <c r="A38" s="47"/>
      <c r="B38" s="47"/>
      <c r="C38" s="190"/>
      <c r="D38" s="250"/>
      <c r="E38" s="47"/>
      <c r="F38" s="48"/>
      <c r="G38" s="47"/>
      <c r="H38" s="37">
        <v>0</v>
      </c>
      <c r="I38" s="189"/>
      <c r="J38" s="189"/>
      <c r="K38" s="149"/>
    </row>
    <row r="39" spans="1:11" s="50" customFormat="1" ht="36.75" customHeight="1" x14ac:dyDescent="0.25">
      <c r="A39" s="31"/>
      <c r="B39" s="15"/>
      <c r="C39" s="80"/>
      <c r="D39" s="248"/>
      <c r="E39" s="16"/>
      <c r="F39" s="6"/>
      <c r="G39" s="6"/>
      <c r="H39" s="79"/>
      <c r="I39" s="17"/>
      <c r="J39" s="22"/>
      <c r="K39" s="7"/>
    </row>
    <row r="40" spans="1:11" s="46" customFormat="1" ht="39.75" customHeight="1" x14ac:dyDescent="0.25">
      <c r="A40" s="45" t="s">
        <v>6</v>
      </c>
      <c r="B40" s="30"/>
      <c r="C40" s="30"/>
      <c r="D40" s="45"/>
      <c r="E40" s="40"/>
      <c r="F40" s="45"/>
      <c r="G40" s="40"/>
      <c r="H40" s="82">
        <f>SUM(H37:H39)</f>
        <v>0</v>
      </c>
      <c r="I40" s="11"/>
      <c r="J40" s="11"/>
      <c r="K40" s="11"/>
    </row>
    <row r="41" spans="1:11" s="46" customFormat="1" ht="51" customHeight="1" x14ac:dyDescent="0.25">
      <c r="A41" s="461"/>
      <c r="B41" s="461"/>
      <c r="C41" s="461"/>
      <c r="D41" s="461"/>
      <c r="E41" s="461"/>
      <c r="F41" s="461"/>
      <c r="G41" s="461"/>
      <c r="H41" s="461"/>
      <c r="I41" s="461"/>
      <c r="J41" s="461"/>
      <c r="K41" s="461"/>
    </row>
    <row r="42" spans="1:11" s="46" customFormat="1" ht="32.25" customHeight="1" x14ac:dyDescent="0.25">
      <c r="A42" s="450" t="s">
        <v>17</v>
      </c>
      <c r="B42" s="450"/>
      <c r="C42" s="450"/>
      <c r="D42" s="450"/>
      <c r="E42" s="450"/>
      <c r="F42" s="450"/>
      <c r="G42" s="450"/>
      <c r="H42" s="450"/>
      <c r="I42" s="450"/>
      <c r="J42" s="450"/>
      <c r="K42" s="450"/>
    </row>
    <row r="43" spans="1:11" s="50" customFormat="1" ht="36" x14ac:dyDescent="0.25">
      <c r="A43" s="150" t="s">
        <v>0</v>
      </c>
      <c r="B43" s="150" t="s">
        <v>1</v>
      </c>
      <c r="C43" s="149" t="s">
        <v>12</v>
      </c>
      <c r="D43" s="151" t="s">
        <v>13</v>
      </c>
      <c r="E43" s="150" t="s">
        <v>2</v>
      </c>
      <c r="F43" s="151" t="s">
        <v>3</v>
      </c>
      <c r="G43" s="150" t="s">
        <v>4</v>
      </c>
      <c r="H43" s="75" t="s">
        <v>7</v>
      </c>
      <c r="I43" s="149" t="s">
        <v>14</v>
      </c>
      <c r="J43" s="149" t="s">
        <v>10</v>
      </c>
      <c r="K43" s="149" t="s">
        <v>9</v>
      </c>
    </row>
    <row r="44" spans="1:11" s="50" customFormat="1" ht="41.25" customHeight="1" x14ac:dyDescent="0.25">
      <c r="A44" s="31" t="s">
        <v>26</v>
      </c>
      <c r="B44" s="15" t="s">
        <v>27</v>
      </c>
      <c r="C44" s="32" t="s">
        <v>32</v>
      </c>
      <c r="D44" s="251" t="s">
        <v>31</v>
      </c>
      <c r="E44" s="16" t="s">
        <v>20</v>
      </c>
      <c r="F44" s="6">
        <v>0</v>
      </c>
      <c r="G44" s="6">
        <v>0</v>
      </c>
      <c r="H44" s="79">
        <f>154923.47+76333.01+65882.5+16069.31</f>
        <v>313208.28999999998</v>
      </c>
      <c r="I44" s="17" t="s">
        <v>22</v>
      </c>
      <c r="J44" s="22" t="s">
        <v>30</v>
      </c>
      <c r="K44" s="7"/>
    </row>
    <row r="45" spans="1:11" s="50" customFormat="1" ht="36.75" customHeight="1" x14ac:dyDescent="0.25">
      <c r="A45" s="7"/>
      <c r="B45" s="7"/>
      <c r="C45" s="68"/>
      <c r="D45" s="252"/>
      <c r="E45" s="25"/>
      <c r="F45" s="48"/>
      <c r="G45" s="47"/>
      <c r="H45" s="21"/>
      <c r="I45" s="7"/>
      <c r="J45" s="7"/>
      <c r="K45" s="7"/>
    </row>
    <row r="46" spans="1:11" s="46" customFormat="1" ht="29.1" customHeight="1" x14ac:dyDescent="0.25">
      <c r="A46" s="45" t="s">
        <v>6</v>
      </c>
      <c r="B46" s="11"/>
      <c r="C46" s="11"/>
      <c r="D46" s="19"/>
      <c r="E46" s="5"/>
      <c r="F46" s="19"/>
      <c r="G46" s="5"/>
      <c r="H46" s="75">
        <f>SUM(H44:H45)</f>
        <v>313208.28999999998</v>
      </c>
      <c r="I46" s="11"/>
      <c r="J46" s="11"/>
      <c r="K46" s="11"/>
    </row>
    <row r="47" spans="1:11" s="102" customFormat="1" ht="36.75" customHeight="1" x14ac:dyDescent="0.25">
      <c r="A47" s="456"/>
      <c r="B47" s="456"/>
      <c r="C47" s="456"/>
      <c r="D47" s="456"/>
      <c r="E47" s="456"/>
      <c r="F47" s="456"/>
      <c r="G47" s="456"/>
      <c r="H47" s="456"/>
      <c r="I47" s="456"/>
      <c r="J47" s="456"/>
      <c r="K47" s="456"/>
    </row>
    <row r="48" spans="1:11" s="102" customFormat="1" ht="34.5" customHeight="1" x14ac:dyDescent="0.25">
      <c r="A48" s="452" t="s">
        <v>18</v>
      </c>
      <c r="B48" s="452"/>
      <c r="C48" s="452"/>
      <c r="D48" s="452"/>
      <c r="E48" s="452"/>
      <c r="F48" s="452"/>
      <c r="G48" s="452"/>
      <c r="H48" s="452"/>
      <c r="I48" s="452"/>
      <c r="J48" s="452"/>
      <c r="K48" s="452"/>
    </row>
    <row r="49" spans="1:12" s="50" customFormat="1" ht="42.75" customHeight="1" x14ac:dyDescent="0.25">
      <c r="A49" s="150" t="s">
        <v>0</v>
      </c>
      <c r="B49" s="150" t="s">
        <v>1</v>
      </c>
      <c r="C49" s="149" t="s">
        <v>12</v>
      </c>
      <c r="D49" s="151" t="s">
        <v>13</v>
      </c>
      <c r="E49" s="150" t="s">
        <v>2</v>
      </c>
      <c r="F49" s="151" t="s">
        <v>3</v>
      </c>
      <c r="G49" s="150" t="s">
        <v>4</v>
      </c>
      <c r="H49" s="75" t="s">
        <v>7</v>
      </c>
      <c r="I49" s="149" t="s">
        <v>14</v>
      </c>
      <c r="J49" s="149" t="s">
        <v>10</v>
      </c>
      <c r="K49" s="149" t="s">
        <v>9</v>
      </c>
    </row>
    <row r="50" spans="1:12" s="96" customFormat="1" ht="40.5" customHeight="1" x14ac:dyDescent="0.25">
      <c r="A50" s="231" t="s">
        <v>55</v>
      </c>
      <c r="B50" s="232" t="s">
        <v>41</v>
      </c>
      <c r="C50" s="233" t="s">
        <v>109</v>
      </c>
      <c r="D50" s="254" t="s">
        <v>141</v>
      </c>
      <c r="E50" s="234" t="s">
        <v>20</v>
      </c>
      <c r="F50" s="235">
        <v>0.19670000000000001</v>
      </c>
      <c r="G50" s="236">
        <v>1</v>
      </c>
      <c r="H50" s="237">
        <f>437759.25+77728.15</f>
        <v>515487.4</v>
      </c>
      <c r="I50" s="238" t="s">
        <v>42</v>
      </c>
      <c r="J50" s="238" t="s">
        <v>62</v>
      </c>
      <c r="K50" s="238" t="s">
        <v>58</v>
      </c>
    </row>
    <row r="51" spans="1:12" s="96" customFormat="1" ht="40.5" customHeight="1" x14ac:dyDescent="0.25">
      <c r="A51" s="272" t="s">
        <v>206</v>
      </c>
      <c r="B51" s="331" t="s">
        <v>41</v>
      </c>
      <c r="C51" s="322" t="s">
        <v>369</v>
      </c>
      <c r="D51" s="332" t="s">
        <v>330</v>
      </c>
      <c r="E51" s="333" t="s">
        <v>20</v>
      </c>
      <c r="F51" s="323">
        <v>0</v>
      </c>
      <c r="G51" s="323">
        <v>0.75</v>
      </c>
      <c r="H51" s="328">
        <v>273600</v>
      </c>
      <c r="I51" s="334" t="s">
        <v>42</v>
      </c>
      <c r="J51" s="331" t="s">
        <v>370</v>
      </c>
      <c r="K51" s="329" t="s">
        <v>58</v>
      </c>
    </row>
    <row r="52" spans="1:12" s="96" customFormat="1" ht="40.5" customHeight="1" x14ac:dyDescent="0.25">
      <c r="A52" s="326" t="s">
        <v>200</v>
      </c>
      <c r="B52" s="331" t="s">
        <v>371</v>
      </c>
      <c r="C52" s="324" t="s">
        <v>302</v>
      </c>
      <c r="D52" s="330" t="s">
        <v>372</v>
      </c>
      <c r="E52" s="325" t="s">
        <v>373</v>
      </c>
      <c r="F52" s="323">
        <v>0</v>
      </c>
      <c r="G52" s="323">
        <v>0.75</v>
      </c>
      <c r="H52" s="328">
        <v>3078</v>
      </c>
      <c r="I52" s="329" t="s">
        <v>371</v>
      </c>
      <c r="J52" s="327" t="s">
        <v>374</v>
      </c>
      <c r="K52" s="329" t="s">
        <v>375</v>
      </c>
    </row>
    <row r="53" spans="1:12" s="96" customFormat="1" ht="40.5" customHeight="1" x14ac:dyDescent="0.25">
      <c r="A53" s="239" t="s">
        <v>202</v>
      </c>
      <c r="B53" s="255" t="s">
        <v>187</v>
      </c>
      <c r="C53" s="233" t="s">
        <v>109</v>
      </c>
      <c r="D53" s="254" t="s">
        <v>141</v>
      </c>
      <c r="E53" s="234" t="s">
        <v>20</v>
      </c>
      <c r="F53" s="235"/>
      <c r="G53" s="236"/>
      <c r="H53" s="241">
        <f>8225+5445+630+2395+506.9+1280</f>
        <v>18481.900000000001</v>
      </c>
      <c r="I53" s="242" t="s">
        <v>187</v>
      </c>
      <c r="J53" s="240" t="s">
        <v>201</v>
      </c>
      <c r="K53" s="384" t="s">
        <v>58</v>
      </c>
      <c r="L53" s="142"/>
    </row>
    <row r="54" spans="1:12" s="96" customFormat="1" ht="40.5" customHeight="1" x14ac:dyDescent="0.25">
      <c r="A54" s="239" t="s">
        <v>203</v>
      </c>
      <c r="B54" s="255" t="s">
        <v>187</v>
      </c>
      <c r="C54" s="233" t="s">
        <v>109</v>
      </c>
      <c r="D54" s="254" t="s">
        <v>141</v>
      </c>
      <c r="E54" s="234" t="s">
        <v>20</v>
      </c>
      <c r="F54" s="235"/>
      <c r="G54" s="236"/>
      <c r="H54" s="241">
        <f>350*5+200+350</f>
        <v>2300</v>
      </c>
      <c r="I54" s="242" t="s">
        <v>187</v>
      </c>
      <c r="J54" s="240" t="s">
        <v>201</v>
      </c>
      <c r="K54" s="384" t="s">
        <v>58</v>
      </c>
      <c r="L54" s="142"/>
    </row>
    <row r="55" spans="1:12" s="96" customFormat="1" ht="40.5" customHeight="1" x14ac:dyDescent="0.25">
      <c r="A55" s="239" t="s">
        <v>204</v>
      </c>
      <c r="B55" s="255" t="s">
        <v>187</v>
      </c>
      <c r="C55" s="233" t="s">
        <v>109</v>
      </c>
      <c r="D55" s="254" t="s">
        <v>141</v>
      </c>
      <c r="E55" s="234" t="s">
        <v>20</v>
      </c>
      <c r="F55" s="235"/>
      <c r="G55" s="236"/>
      <c r="H55" s="241">
        <v>391</v>
      </c>
      <c r="I55" s="242" t="s">
        <v>187</v>
      </c>
      <c r="J55" s="240" t="s">
        <v>189</v>
      </c>
      <c r="K55" s="384" t="s">
        <v>58</v>
      </c>
      <c r="L55" s="142"/>
    </row>
    <row r="56" spans="1:12" s="96" customFormat="1" ht="40.5" customHeight="1" x14ac:dyDescent="0.25">
      <c r="A56" s="239" t="s">
        <v>205</v>
      </c>
      <c r="B56" s="255" t="s">
        <v>187</v>
      </c>
      <c r="C56" s="233" t="s">
        <v>109</v>
      </c>
      <c r="D56" s="254" t="s">
        <v>141</v>
      </c>
      <c r="E56" s="234" t="s">
        <v>20</v>
      </c>
      <c r="F56" s="235"/>
      <c r="G56" s="236"/>
      <c r="H56" s="241">
        <f>695+695+279+600+695</f>
        <v>2964</v>
      </c>
      <c r="I56" s="242" t="s">
        <v>187</v>
      </c>
      <c r="J56" s="240" t="s">
        <v>189</v>
      </c>
      <c r="K56" s="384" t="s">
        <v>58</v>
      </c>
      <c r="L56" s="142"/>
    </row>
    <row r="57" spans="1:12" s="142" customFormat="1" ht="40.5" customHeight="1" x14ac:dyDescent="0.25">
      <c r="A57" s="239" t="s">
        <v>198</v>
      </c>
      <c r="B57" s="240" t="s">
        <v>187</v>
      </c>
      <c r="C57" s="233" t="s">
        <v>109</v>
      </c>
      <c r="D57" s="254" t="s">
        <v>141</v>
      </c>
      <c r="E57" s="234" t="s">
        <v>20</v>
      </c>
      <c r="F57" s="235"/>
      <c r="G57" s="236"/>
      <c r="H57" s="241">
        <f>8135.35+4287.5+1390+1704.55+841.82*2+886.4*3+841.82+1683.64+1311+1750+841.82+841.82</f>
        <v>27130.34</v>
      </c>
      <c r="I57" s="242" t="s">
        <v>187</v>
      </c>
      <c r="J57" s="240" t="s">
        <v>189</v>
      </c>
      <c r="K57" s="384" t="s">
        <v>58</v>
      </c>
    </row>
    <row r="58" spans="1:12" s="142" customFormat="1" ht="40.5" customHeight="1" x14ac:dyDescent="0.25">
      <c r="A58" s="239" t="s">
        <v>199</v>
      </c>
      <c r="B58" s="240" t="s">
        <v>187</v>
      </c>
      <c r="C58" s="233" t="s">
        <v>109</v>
      </c>
      <c r="D58" s="254" t="s">
        <v>141</v>
      </c>
      <c r="E58" s="234" t="s">
        <v>20</v>
      </c>
      <c r="F58" s="235"/>
      <c r="G58" s="236"/>
      <c r="H58" s="241">
        <f>8077.4+1146.7+576+656.6+547.6+1314.8+763.6+576</f>
        <v>13658.7</v>
      </c>
      <c r="I58" s="242" t="s">
        <v>187</v>
      </c>
      <c r="J58" s="240" t="s">
        <v>189</v>
      </c>
      <c r="K58" s="384" t="s">
        <v>58</v>
      </c>
    </row>
    <row r="59" spans="1:12" s="142" customFormat="1" ht="40.5" customHeight="1" x14ac:dyDescent="0.25">
      <c r="A59" s="239" t="s">
        <v>207</v>
      </c>
      <c r="B59" s="240" t="s">
        <v>187</v>
      </c>
      <c r="C59" s="233" t="s">
        <v>109</v>
      </c>
      <c r="D59" s="254" t="s">
        <v>141</v>
      </c>
      <c r="E59" s="234" t="s">
        <v>20</v>
      </c>
      <c r="F59" s="235"/>
      <c r="G59" s="236"/>
      <c r="H59" s="241">
        <f>11084.88+9237.4+700+580+10161.14</f>
        <v>31763.42</v>
      </c>
      <c r="I59" s="242" t="s">
        <v>187</v>
      </c>
      <c r="J59" s="240" t="s">
        <v>189</v>
      </c>
      <c r="K59" s="384" t="s">
        <v>58</v>
      </c>
    </row>
    <row r="60" spans="1:12" s="142" customFormat="1" ht="40.5" customHeight="1" x14ac:dyDescent="0.25">
      <c r="A60" s="239" t="s">
        <v>500</v>
      </c>
      <c r="B60" s="240" t="s">
        <v>187</v>
      </c>
      <c r="C60" s="233" t="s">
        <v>109</v>
      </c>
      <c r="D60" s="254" t="s">
        <v>141</v>
      </c>
      <c r="E60" s="234" t="s">
        <v>20</v>
      </c>
      <c r="F60" s="235"/>
      <c r="G60" s="236"/>
      <c r="H60" s="241">
        <f>907.4*10+1049.5*2+1255.4*3+933.9+281.4+1083.7+856.2+1525.1+1390+1291.4+958.9+907.4*6+1200+907.4+1110.1+941.69+907.4+1434.7</f>
        <v>35205.490000000005</v>
      </c>
      <c r="I60" s="242" t="s">
        <v>187</v>
      </c>
      <c r="J60" s="240" t="s">
        <v>189</v>
      </c>
      <c r="K60" s="384" t="s">
        <v>58</v>
      </c>
    </row>
    <row r="61" spans="1:12" s="142" customFormat="1" ht="40.5" customHeight="1" x14ac:dyDescent="0.25">
      <c r="A61" s="239" t="s">
        <v>208</v>
      </c>
      <c r="B61" s="240" t="s">
        <v>187</v>
      </c>
      <c r="C61" s="233" t="s">
        <v>109</v>
      </c>
      <c r="D61" s="254" t="s">
        <v>141</v>
      </c>
      <c r="E61" s="234" t="s">
        <v>20</v>
      </c>
      <c r="F61" s="235"/>
      <c r="G61" s="236"/>
      <c r="H61" s="241">
        <f>941.69*4+941.69*8+941.69*5+2825.07+941.69+941.69+941.69+1740</f>
        <v>23398.87</v>
      </c>
      <c r="I61" s="242" t="s">
        <v>187</v>
      </c>
      <c r="J61" s="240" t="s">
        <v>189</v>
      </c>
      <c r="K61" s="384" t="s">
        <v>58</v>
      </c>
    </row>
    <row r="62" spans="1:12" s="378" customFormat="1" ht="40.5" customHeight="1" x14ac:dyDescent="0.25">
      <c r="A62" s="381" t="s">
        <v>411</v>
      </c>
      <c r="B62" s="382" t="s">
        <v>478</v>
      </c>
      <c r="C62" s="379" t="s">
        <v>427</v>
      </c>
      <c r="D62" s="385" t="s">
        <v>479</v>
      </c>
      <c r="E62" s="380" t="s">
        <v>386</v>
      </c>
      <c r="F62" s="377">
        <v>0</v>
      </c>
      <c r="G62" s="377">
        <v>0</v>
      </c>
      <c r="H62" s="383">
        <f>8361.9+584.5</f>
        <v>8946.4</v>
      </c>
      <c r="I62" s="384" t="s">
        <v>480</v>
      </c>
      <c r="J62" s="382" t="s">
        <v>189</v>
      </c>
      <c r="K62" s="384" t="s">
        <v>58</v>
      </c>
    </row>
    <row r="63" spans="1:12" s="378" customFormat="1" ht="40.5" customHeight="1" x14ac:dyDescent="0.25">
      <c r="A63" s="381" t="s">
        <v>498</v>
      </c>
      <c r="B63" s="382" t="s">
        <v>187</v>
      </c>
      <c r="C63" s="379" t="s">
        <v>109</v>
      </c>
      <c r="D63" s="385" t="s">
        <v>141</v>
      </c>
      <c r="E63" s="380" t="s">
        <v>20</v>
      </c>
      <c r="F63" s="377"/>
      <c r="G63" s="377"/>
      <c r="H63" s="383">
        <f>370-61+370</f>
        <v>679</v>
      </c>
      <c r="I63" s="384" t="s">
        <v>187</v>
      </c>
      <c r="J63" s="382" t="s">
        <v>189</v>
      </c>
      <c r="K63" s="384" t="s">
        <v>58</v>
      </c>
    </row>
    <row r="64" spans="1:12" s="378" customFormat="1" ht="40.5" customHeight="1" x14ac:dyDescent="0.25">
      <c r="A64" s="381" t="s">
        <v>499</v>
      </c>
      <c r="B64" s="382" t="s">
        <v>187</v>
      </c>
      <c r="C64" s="379" t="s">
        <v>109</v>
      </c>
      <c r="D64" s="385" t="s">
        <v>141</v>
      </c>
      <c r="E64" s="380" t="s">
        <v>20</v>
      </c>
      <c r="F64" s="377"/>
      <c r="G64" s="377"/>
      <c r="H64" s="383">
        <v>1790</v>
      </c>
      <c r="I64" s="384" t="s">
        <v>187</v>
      </c>
      <c r="J64" s="382" t="s">
        <v>189</v>
      </c>
      <c r="K64" s="384" t="s">
        <v>58</v>
      </c>
    </row>
    <row r="65" spans="1:11" s="378" customFormat="1" ht="40.5" customHeight="1" x14ac:dyDescent="0.25">
      <c r="A65" s="381" t="s">
        <v>501</v>
      </c>
      <c r="B65" s="382" t="s">
        <v>187</v>
      </c>
      <c r="C65" s="379" t="s">
        <v>109</v>
      </c>
      <c r="D65" s="385" t="s">
        <v>502</v>
      </c>
      <c r="E65" s="380" t="s">
        <v>20</v>
      </c>
      <c r="F65" s="377"/>
      <c r="G65" s="377"/>
      <c r="H65" s="383">
        <v>1782.5</v>
      </c>
      <c r="I65" s="384" t="s">
        <v>187</v>
      </c>
      <c r="J65" s="382" t="s">
        <v>189</v>
      </c>
      <c r="K65" s="384" t="s">
        <v>58</v>
      </c>
    </row>
    <row r="66" spans="1:11" s="402" customFormat="1" ht="40.5" customHeight="1" x14ac:dyDescent="0.25">
      <c r="A66" s="405" t="s">
        <v>564</v>
      </c>
      <c r="B66" s="406" t="s">
        <v>187</v>
      </c>
      <c r="C66" s="403" t="s">
        <v>109</v>
      </c>
      <c r="D66" s="409" t="s">
        <v>502</v>
      </c>
      <c r="E66" s="404" t="s">
        <v>20</v>
      </c>
      <c r="F66" s="410"/>
      <c r="G66" s="410"/>
      <c r="H66" s="407">
        <f>380*7+4560+380</f>
        <v>7600</v>
      </c>
      <c r="I66" s="408" t="s">
        <v>187</v>
      </c>
      <c r="J66" s="406" t="s">
        <v>189</v>
      </c>
      <c r="K66" s="408" t="s">
        <v>58</v>
      </c>
    </row>
    <row r="67" spans="1:11" s="402" customFormat="1" ht="40.5" customHeight="1" x14ac:dyDescent="0.25">
      <c r="A67" s="405" t="s">
        <v>503</v>
      </c>
      <c r="B67" s="406" t="s">
        <v>540</v>
      </c>
      <c r="C67" s="403" t="s">
        <v>528</v>
      </c>
      <c r="D67" s="409" t="s">
        <v>541</v>
      </c>
      <c r="E67" s="404" t="s">
        <v>386</v>
      </c>
      <c r="F67" s="401">
        <v>1</v>
      </c>
      <c r="G67" s="401">
        <v>1</v>
      </c>
      <c r="H67" s="407">
        <v>97812</v>
      </c>
      <c r="I67" s="408" t="s">
        <v>542</v>
      </c>
      <c r="J67" s="406" t="s">
        <v>189</v>
      </c>
      <c r="K67" s="408" t="s">
        <v>58</v>
      </c>
    </row>
    <row r="68" spans="1:11" s="402" customFormat="1" ht="40.5" customHeight="1" x14ac:dyDescent="0.25">
      <c r="A68" s="405" t="s">
        <v>563</v>
      </c>
      <c r="B68" s="406" t="s">
        <v>623</v>
      </c>
      <c r="C68" s="403" t="s">
        <v>624</v>
      </c>
      <c r="D68" s="409" t="s">
        <v>625</v>
      </c>
      <c r="E68" s="404" t="s">
        <v>164</v>
      </c>
      <c r="F68" s="410">
        <v>0</v>
      </c>
      <c r="G68" s="410">
        <v>1</v>
      </c>
      <c r="H68" s="407">
        <v>4490767.41</v>
      </c>
      <c r="I68" s="408" t="s">
        <v>626</v>
      </c>
      <c r="J68" s="406" t="s">
        <v>627</v>
      </c>
      <c r="K68" s="408" t="s">
        <v>628</v>
      </c>
    </row>
    <row r="69" spans="1:11" s="402" customFormat="1" ht="40.5" customHeight="1" x14ac:dyDescent="0.25">
      <c r="A69" s="405" t="s">
        <v>656</v>
      </c>
      <c r="B69" s="406" t="s">
        <v>187</v>
      </c>
      <c r="C69" s="403" t="s">
        <v>109</v>
      </c>
      <c r="D69" s="409" t="s">
        <v>502</v>
      </c>
      <c r="E69" s="404" t="s">
        <v>20</v>
      </c>
      <c r="F69" s="410"/>
      <c r="G69" s="410"/>
      <c r="H69" s="407">
        <f>350*6</f>
        <v>2100</v>
      </c>
      <c r="I69" s="408" t="s">
        <v>187</v>
      </c>
      <c r="J69" s="406" t="s">
        <v>189</v>
      </c>
      <c r="K69" s="408" t="s">
        <v>58</v>
      </c>
    </row>
    <row r="70" spans="1:11" s="402" customFormat="1" ht="40.5" customHeight="1" x14ac:dyDescent="0.25">
      <c r="A70" s="405" t="s">
        <v>657</v>
      </c>
      <c r="B70" s="406" t="s">
        <v>187</v>
      </c>
      <c r="C70" s="403" t="s">
        <v>109</v>
      </c>
      <c r="D70" s="409" t="s">
        <v>502</v>
      </c>
      <c r="E70" s="404" t="s">
        <v>20</v>
      </c>
      <c r="F70" s="410"/>
      <c r="G70" s="410"/>
      <c r="H70" s="407">
        <v>350</v>
      </c>
      <c r="I70" s="408" t="s">
        <v>187</v>
      </c>
      <c r="J70" s="406" t="s">
        <v>189</v>
      </c>
      <c r="K70" s="408" t="s">
        <v>58</v>
      </c>
    </row>
    <row r="71" spans="1:11" s="421" customFormat="1" ht="40.5" customHeight="1" x14ac:dyDescent="0.25">
      <c r="A71" s="422" t="s">
        <v>658</v>
      </c>
      <c r="B71" s="232" t="s">
        <v>667</v>
      </c>
      <c r="C71" s="423" t="s">
        <v>164</v>
      </c>
      <c r="D71" s="424"/>
      <c r="E71" s="425"/>
      <c r="F71" s="10">
        <v>0</v>
      </c>
      <c r="G71" s="10">
        <v>1</v>
      </c>
      <c r="H71" s="426">
        <v>57000</v>
      </c>
      <c r="I71" s="238" t="s">
        <v>668</v>
      </c>
      <c r="J71" s="232" t="s">
        <v>669</v>
      </c>
      <c r="K71" s="238" t="s">
        <v>628</v>
      </c>
    </row>
    <row r="72" spans="1:11" s="421" customFormat="1" ht="40.5" customHeight="1" x14ac:dyDescent="0.25">
      <c r="A72" s="422" t="s">
        <v>33</v>
      </c>
      <c r="B72" s="232" t="s">
        <v>478</v>
      </c>
      <c r="C72" s="423" t="s">
        <v>164</v>
      </c>
      <c r="D72" s="424"/>
      <c r="E72" s="425"/>
      <c r="F72" s="10">
        <v>0</v>
      </c>
      <c r="G72" s="10">
        <v>0</v>
      </c>
      <c r="H72" s="426">
        <f>5301+3830.4+4003.68+923.4</f>
        <v>14058.48</v>
      </c>
      <c r="I72" s="238" t="s">
        <v>480</v>
      </c>
      <c r="J72" s="232" t="s">
        <v>189</v>
      </c>
      <c r="K72" s="238" t="s">
        <v>58</v>
      </c>
    </row>
    <row r="73" spans="1:11" s="402" customFormat="1" ht="40.5" customHeight="1" x14ac:dyDescent="0.25">
      <c r="A73" s="405" t="s">
        <v>747</v>
      </c>
      <c r="B73" s="406" t="s">
        <v>754</v>
      </c>
      <c r="C73" s="403" t="s">
        <v>164</v>
      </c>
      <c r="D73" s="409"/>
      <c r="E73" s="404"/>
      <c r="F73" s="410"/>
      <c r="G73" s="410"/>
      <c r="H73" s="407">
        <v>46398</v>
      </c>
      <c r="I73" s="408" t="s">
        <v>465</v>
      </c>
      <c r="J73" s="406" t="s">
        <v>755</v>
      </c>
      <c r="K73" s="408" t="s">
        <v>58</v>
      </c>
    </row>
    <row r="74" spans="1:11" s="114" customFormat="1" ht="36" customHeight="1" x14ac:dyDescent="0.25">
      <c r="A74" s="243" t="s">
        <v>6</v>
      </c>
      <c r="B74" s="244"/>
      <c r="C74" s="244"/>
      <c r="D74" s="243"/>
      <c r="E74" s="245"/>
      <c r="F74" s="243"/>
      <c r="G74" s="245"/>
      <c r="H74" s="246">
        <f>SUM(H50:H73)</f>
        <v>5676742.9100000001</v>
      </c>
      <c r="I74" s="247"/>
      <c r="J74" s="247"/>
      <c r="K74" s="247"/>
    </row>
    <row r="75" spans="1:11" s="102" customFormat="1" ht="33" customHeight="1" x14ac:dyDescent="0.25">
      <c r="A75" s="462"/>
      <c r="B75" s="462"/>
      <c r="C75" s="462"/>
      <c r="D75" s="462"/>
      <c r="E75" s="462"/>
      <c r="F75" s="462"/>
      <c r="G75" s="462"/>
      <c r="H75" s="462"/>
      <c r="I75" s="462"/>
      <c r="J75" s="462"/>
      <c r="K75" s="462"/>
    </row>
    <row r="76" spans="1:11" s="50" customFormat="1" ht="35.25" customHeight="1" x14ac:dyDescent="0.25">
      <c r="A76" s="457"/>
      <c r="B76" s="457"/>
      <c r="C76" s="457"/>
      <c r="D76" s="457"/>
      <c r="E76" s="457"/>
      <c r="F76" s="457"/>
      <c r="G76" s="457"/>
      <c r="H76" s="457"/>
      <c r="I76" s="457"/>
      <c r="J76" s="457"/>
      <c r="K76" s="457"/>
    </row>
    <row r="77" spans="1:11" s="50" customFormat="1" ht="35.25" customHeight="1" x14ac:dyDescent="0.25">
      <c r="A77" s="452" t="s">
        <v>19</v>
      </c>
      <c r="B77" s="452"/>
      <c r="C77" s="452"/>
      <c r="D77" s="452"/>
      <c r="E77" s="452"/>
      <c r="F77" s="452"/>
      <c r="G77" s="452"/>
      <c r="H77" s="452"/>
      <c r="I77" s="452"/>
      <c r="J77" s="452"/>
      <c r="K77" s="452"/>
    </row>
    <row r="78" spans="1:11" s="50" customFormat="1" ht="36" x14ac:dyDescent="0.25">
      <c r="A78" s="150" t="s">
        <v>0</v>
      </c>
      <c r="B78" s="150" t="s">
        <v>1</v>
      </c>
      <c r="C78" s="149" t="s">
        <v>12</v>
      </c>
      <c r="D78" s="151" t="s">
        <v>13</v>
      </c>
      <c r="E78" s="150" t="s">
        <v>2</v>
      </c>
      <c r="F78" s="151" t="s">
        <v>3</v>
      </c>
      <c r="G78" s="150" t="s">
        <v>4</v>
      </c>
      <c r="H78" s="75" t="s">
        <v>7</v>
      </c>
      <c r="I78" s="149" t="s">
        <v>14</v>
      </c>
      <c r="J78" s="149" t="s">
        <v>10</v>
      </c>
      <c r="K78" s="149" t="s">
        <v>9</v>
      </c>
    </row>
    <row r="79" spans="1:11" ht="42" customHeight="1" x14ac:dyDescent="0.25">
      <c r="A79" s="3" t="s">
        <v>481</v>
      </c>
      <c r="B79" s="2"/>
      <c r="C79" s="68"/>
      <c r="D79" s="252"/>
      <c r="E79" s="13"/>
      <c r="F79" s="6"/>
      <c r="G79" s="6"/>
      <c r="H79" s="157">
        <v>86939290.379999995</v>
      </c>
      <c r="I79" s="17"/>
      <c r="J79" s="2"/>
      <c r="K79" s="2"/>
    </row>
    <row r="80" spans="1:11" ht="42" customHeight="1" x14ac:dyDescent="0.25">
      <c r="A80" s="3" t="s">
        <v>482</v>
      </c>
      <c r="B80" s="2"/>
      <c r="C80" s="360"/>
      <c r="D80" s="362"/>
      <c r="E80" s="13"/>
      <c r="F80" s="377"/>
      <c r="G80" s="377"/>
      <c r="H80" s="157">
        <v>42700190.240000002</v>
      </c>
      <c r="I80" s="357"/>
      <c r="J80" s="2"/>
      <c r="K80" s="2"/>
    </row>
    <row r="81" spans="1:11" s="352" customFormat="1" ht="42" customHeight="1" x14ac:dyDescent="0.25">
      <c r="A81" s="358" t="s">
        <v>220</v>
      </c>
      <c r="B81" s="354" t="s">
        <v>385</v>
      </c>
      <c r="C81" s="360" t="s">
        <v>386</v>
      </c>
      <c r="D81" s="362"/>
      <c r="E81" s="356"/>
      <c r="F81" s="353">
        <v>0</v>
      </c>
      <c r="G81" s="353">
        <v>0</v>
      </c>
      <c r="H81" s="361">
        <f>391840.66-391840.66</f>
        <v>0</v>
      </c>
      <c r="I81" s="357" t="s">
        <v>158</v>
      </c>
      <c r="J81" s="354" t="s">
        <v>387</v>
      </c>
      <c r="K81" s="354" t="s">
        <v>45</v>
      </c>
    </row>
    <row r="82" spans="1:11" s="352" customFormat="1" ht="42" customHeight="1" x14ac:dyDescent="0.25">
      <c r="A82" s="358"/>
      <c r="B82" s="411"/>
      <c r="C82" s="393"/>
      <c r="D82" s="362"/>
      <c r="E82" s="356"/>
      <c r="F82" s="410"/>
      <c r="G82" s="410"/>
      <c r="H82" s="361">
        <v>820.8</v>
      </c>
      <c r="I82" s="357"/>
      <c r="J82" s="411"/>
      <c r="K82" s="411"/>
    </row>
    <row r="83" spans="1:11" ht="51.75" customHeight="1" x14ac:dyDescent="0.25">
      <c r="A83" s="45" t="s">
        <v>6</v>
      </c>
      <c r="B83" s="30"/>
      <c r="C83" s="30"/>
      <c r="D83" s="45"/>
      <c r="E83" s="40"/>
      <c r="F83" s="45"/>
      <c r="G83" s="40"/>
      <c r="H83" s="158">
        <f>SUM(H79:H82)</f>
        <v>129640301.42</v>
      </c>
      <c r="I83" s="11"/>
      <c r="J83" s="11"/>
      <c r="K83" s="11"/>
    </row>
    <row r="84" spans="1:11" ht="51.75" customHeight="1" x14ac:dyDescent="0.25">
      <c r="A84" s="121"/>
      <c r="B84" s="113"/>
      <c r="C84" s="113"/>
      <c r="D84" s="121"/>
      <c r="E84" s="187"/>
      <c r="F84" s="50"/>
      <c r="G84" s="187"/>
      <c r="H84" s="200"/>
      <c r="I84" s="39"/>
      <c r="J84" s="39"/>
      <c r="K84" s="50"/>
    </row>
    <row r="85" spans="1:11" s="199" customFormat="1" ht="51.75" customHeight="1" x14ac:dyDescent="0.25">
      <c r="A85" s="188" t="s">
        <v>8</v>
      </c>
      <c r="B85" s="194"/>
      <c r="C85" s="194"/>
      <c r="D85" s="253"/>
      <c r="E85" s="195"/>
      <c r="F85" s="196"/>
      <c r="G85" s="195"/>
      <c r="H85" s="202">
        <f>+H83+H74+H46+H40+H32+H25</f>
        <v>143066269.73000002</v>
      </c>
      <c r="I85" s="197"/>
      <c r="J85" s="197"/>
      <c r="K85" s="198"/>
    </row>
    <row r="86" spans="1:11" x14ac:dyDescent="0.25">
      <c r="B86" s="57"/>
      <c r="C86" s="58"/>
      <c r="D86" s="88"/>
    </row>
    <row r="87" spans="1:11" x14ac:dyDescent="0.25">
      <c r="A87" s="454"/>
      <c r="B87" s="455"/>
      <c r="C87" s="455"/>
      <c r="D87" s="455"/>
      <c r="E87" s="455"/>
      <c r="F87" s="455"/>
      <c r="G87" s="455"/>
      <c r="H87" s="455"/>
    </row>
  </sheetData>
  <mergeCells count="17">
    <mergeCell ref="A1:H1"/>
    <mergeCell ref="A8:K8"/>
    <mergeCell ref="A9:K9"/>
    <mergeCell ref="A11:K11"/>
    <mergeCell ref="A26:K26"/>
    <mergeCell ref="A87:H87"/>
    <mergeCell ref="A34:K34"/>
    <mergeCell ref="A10:K10"/>
    <mergeCell ref="A41:K41"/>
    <mergeCell ref="A42:K42"/>
    <mergeCell ref="A47:K47"/>
    <mergeCell ref="A48:K48"/>
    <mergeCell ref="A27:K27"/>
    <mergeCell ref="A35:K35"/>
    <mergeCell ref="A75:K75"/>
    <mergeCell ref="A76:K76"/>
    <mergeCell ref="A77:K77"/>
  </mergeCells>
  <pageMargins left="0.7" right="0.7" top="0.75" bottom="0.75" header="0.3" footer="0.3"/>
  <pageSetup paperSize="8" scale="46" orientation="landscape" r:id="rId1"/>
  <rowBreaks count="2" manualBreakCount="2">
    <brk id="33" max="16383" man="1"/>
    <brk id="7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topLeftCell="A52" zoomScale="60" zoomScaleNormal="70" workbookViewId="0">
      <selection activeCell="H26" sqref="H26"/>
    </sheetView>
  </sheetViews>
  <sheetFormatPr defaultRowHeight="18" x14ac:dyDescent="0.25"/>
  <cols>
    <col min="1" max="1" width="40" style="29" customWidth="1"/>
    <col min="2" max="2" width="60.7109375" style="60" customWidth="1"/>
    <col min="3" max="3" width="14.85546875" style="60" customWidth="1"/>
    <col min="4" max="4" width="14.28515625" style="60" customWidth="1"/>
    <col min="5" max="5" width="16.85546875" style="59" customWidth="1"/>
    <col min="6" max="6" width="13.140625" style="29" customWidth="1"/>
    <col min="7" max="7" width="12.85546875" style="59" customWidth="1"/>
    <col min="8" max="8" width="23.28515625" style="88" bestFit="1" customWidth="1"/>
    <col min="9" max="9" width="39.7109375" style="60" customWidth="1"/>
    <col min="10" max="10" width="69.28515625" style="60" customWidth="1"/>
    <col min="11" max="11" width="34" style="29" customWidth="1"/>
    <col min="12" max="16384" width="9.140625" style="29"/>
  </cols>
  <sheetData>
    <row r="1" spans="1:11" s="27" customFormat="1" x14ac:dyDescent="0.25">
      <c r="A1" s="450"/>
      <c r="B1" s="450"/>
      <c r="C1" s="450"/>
      <c r="D1" s="450"/>
      <c r="E1" s="450"/>
      <c r="F1" s="450"/>
      <c r="G1" s="450"/>
      <c r="H1" s="450"/>
      <c r="I1" s="26"/>
      <c r="J1" s="26"/>
    </row>
    <row r="2" spans="1:11" s="27" customFormat="1" x14ac:dyDescent="0.25">
      <c r="A2" s="28"/>
      <c r="B2" s="28"/>
      <c r="C2" s="28"/>
      <c r="D2" s="28"/>
      <c r="E2" s="28"/>
      <c r="F2" s="28"/>
      <c r="G2" s="28"/>
      <c r="H2" s="28"/>
      <c r="I2" s="26"/>
      <c r="J2" s="26"/>
    </row>
    <row r="3" spans="1:11" s="27" customFormat="1" x14ac:dyDescent="0.25">
      <c r="A3" s="28"/>
      <c r="B3" s="28"/>
      <c r="C3" s="28"/>
      <c r="D3" s="28"/>
      <c r="E3" s="28"/>
      <c r="F3" s="28"/>
      <c r="G3" s="28"/>
      <c r="H3" s="28"/>
      <c r="I3" s="26"/>
      <c r="J3" s="26"/>
    </row>
    <row r="4" spans="1:11" s="27" customFormat="1" x14ac:dyDescent="0.25">
      <c r="A4" s="28"/>
      <c r="B4" s="28"/>
      <c r="C4" s="28"/>
      <c r="D4" s="28"/>
      <c r="E4" s="28"/>
      <c r="F4" s="28"/>
      <c r="G4" s="28"/>
      <c r="H4" s="28"/>
      <c r="I4" s="26"/>
      <c r="J4" s="26"/>
    </row>
    <row r="5" spans="1:11" s="27" customFormat="1" x14ac:dyDescent="0.25">
      <c r="A5" s="28"/>
      <c r="B5" s="28"/>
      <c r="C5" s="28"/>
      <c r="D5" s="28"/>
      <c r="E5" s="28"/>
      <c r="F5" s="28"/>
      <c r="G5" s="28"/>
      <c r="H5" s="28"/>
      <c r="I5" s="26"/>
      <c r="J5" s="26"/>
    </row>
    <row r="6" spans="1:11" s="27" customFormat="1" x14ac:dyDescent="0.25">
      <c r="A6" s="28"/>
      <c r="B6" s="28"/>
      <c r="C6" s="28"/>
      <c r="D6" s="28"/>
      <c r="E6" s="28"/>
      <c r="F6" s="28"/>
      <c r="G6" s="28"/>
      <c r="H6" s="28"/>
      <c r="I6" s="26"/>
      <c r="J6" s="26"/>
    </row>
    <row r="7" spans="1:11" s="27" customFormat="1" x14ac:dyDescent="0.25">
      <c r="A7" s="28"/>
      <c r="B7" s="28"/>
      <c r="C7" s="28"/>
      <c r="D7" s="28"/>
      <c r="E7" s="28"/>
      <c r="F7" s="28"/>
      <c r="G7" s="28"/>
      <c r="H7" s="28"/>
      <c r="I7" s="26"/>
      <c r="J7" s="26"/>
    </row>
    <row r="8" spans="1:11" ht="32.25" customHeight="1" x14ac:dyDescent="0.25">
      <c r="A8" s="450"/>
      <c r="B8" s="450"/>
      <c r="C8" s="450"/>
      <c r="D8" s="450"/>
      <c r="E8" s="450"/>
      <c r="F8" s="450"/>
      <c r="G8" s="450"/>
      <c r="H8" s="450"/>
      <c r="I8" s="450"/>
      <c r="J8" s="450"/>
      <c r="K8" s="450"/>
    </row>
    <row r="9" spans="1:11" ht="48.75" customHeight="1" x14ac:dyDescent="0.25">
      <c r="A9" s="451" t="s">
        <v>96</v>
      </c>
      <c r="B9" s="451"/>
      <c r="C9" s="451"/>
      <c r="D9" s="451"/>
      <c r="E9" s="451"/>
      <c r="F9" s="451"/>
      <c r="G9" s="451"/>
      <c r="H9" s="451"/>
      <c r="I9" s="451"/>
      <c r="J9" s="451"/>
      <c r="K9" s="451"/>
    </row>
    <row r="10" spans="1:11" ht="32.25" customHeight="1" x14ac:dyDescent="0.25">
      <c r="A10" s="450"/>
      <c r="B10" s="450"/>
      <c r="C10" s="450"/>
      <c r="D10" s="450"/>
      <c r="E10" s="450"/>
      <c r="F10" s="450"/>
      <c r="G10" s="450"/>
      <c r="H10" s="450"/>
      <c r="I10" s="450"/>
      <c r="J10" s="450"/>
      <c r="K10" s="450"/>
    </row>
    <row r="11" spans="1:11" ht="32.25" customHeight="1" x14ac:dyDescent="0.25">
      <c r="A11" s="452" t="s">
        <v>16</v>
      </c>
      <c r="B11" s="452"/>
      <c r="C11" s="452"/>
      <c r="D11" s="452"/>
      <c r="E11" s="452"/>
      <c r="F11" s="452"/>
      <c r="G11" s="452"/>
      <c r="H11" s="452"/>
      <c r="I11" s="452"/>
      <c r="J11" s="452"/>
      <c r="K11" s="452"/>
    </row>
    <row r="12" spans="1:11" ht="29.1" customHeight="1" x14ac:dyDescent="0.25">
      <c r="A12" s="452"/>
      <c r="B12" s="452"/>
      <c r="C12" s="452"/>
      <c r="D12" s="452"/>
      <c r="E12" s="452"/>
      <c r="F12" s="452"/>
      <c r="G12" s="452"/>
      <c r="H12" s="452"/>
      <c r="I12" s="452"/>
      <c r="J12" s="452"/>
      <c r="K12" s="452"/>
    </row>
    <row r="13" spans="1:11" s="96" customFormat="1" ht="60.75" customHeight="1" x14ac:dyDescent="0.25">
      <c r="A13" s="145" t="s">
        <v>0</v>
      </c>
      <c r="B13" s="145" t="s">
        <v>1</v>
      </c>
      <c r="C13" s="146" t="s">
        <v>12</v>
      </c>
      <c r="D13" s="146" t="s">
        <v>13</v>
      </c>
      <c r="E13" s="145" t="s">
        <v>2</v>
      </c>
      <c r="F13" s="147" t="s">
        <v>3</v>
      </c>
      <c r="G13" s="145" t="s">
        <v>4</v>
      </c>
      <c r="H13" s="148" t="s">
        <v>5</v>
      </c>
      <c r="I13" s="149" t="s">
        <v>14</v>
      </c>
      <c r="J13" s="149" t="s">
        <v>10</v>
      </c>
      <c r="K13" s="149" t="s">
        <v>9</v>
      </c>
    </row>
    <row r="14" spans="1:11" s="50" customFormat="1" ht="45.75" customHeight="1" x14ac:dyDescent="0.25">
      <c r="A14" s="2" t="s">
        <v>99</v>
      </c>
      <c r="B14" s="2" t="s">
        <v>100</v>
      </c>
      <c r="C14" s="1" t="s">
        <v>109</v>
      </c>
      <c r="D14" s="1" t="s">
        <v>141</v>
      </c>
      <c r="E14" s="9" t="s">
        <v>20</v>
      </c>
      <c r="F14" s="10">
        <v>0</v>
      </c>
      <c r="G14" s="10">
        <v>0</v>
      </c>
      <c r="H14" s="12">
        <f>1256142.82+385267+302.72-809.5+783287.57+1340757+9761.73+80977.06+596774+306.44-8271.67+1520600</f>
        <v>5965095.1700000009</v>
      </c>
      <c r="I14" s="2" t="s">
        <v>97</v>
      </c>
      <c r="J14" s="2" t="s">
        <v>101</v>
      </c>
      <c r="K14" s="2" t="s">
        <v>98</v>
      </c>
    </row>
    <row r="15" spans="1:11" s="50" customFormat="1" ht="43.5" customHeight="1" x14ac:dyDescent="0.25">
      <c r="A15" s="2" t="s">
        <v>103</v>
      </c>
      <c r="B15" s="2" t="s">
        <v>102</v>
      </c>
      <c r="C15" s="1" t="s">
        <v>109</v>
      </c>
      <c r="D15" s="1" t="s">
        <v>141</v>
      </c>
      <c r="E15" s="9" t="s">
        <v>20</v>
      </c>
      <c r="F15" s="10">
        <v>0</v>
      </c>
      <c r="G15" s="10">
        <v>0</v>
      </c>
      <c r="H15" s="12">
        <f>6528+18488</f>
        <v>25016</v>
      </c>
      <c r="I15" s="2" t="s">
        <v>102</v>
      </c>
      <c r="J15" s="2" t="s">
        <v>104</v>
      </c>
      <c r="K15" s="2" t="s">
        <v>98</v>
      </c>
    </row>
    <row r="16" spans="1:11" s="50" customFormat="1" ht="43.5" customHeight="1" x14ac:dyDescent="0.25">
      <c r="A16" s="2" t="s">
        <v>105</v>
      </c>
      <c r="B16" s="2" t="s">
        <v>102</v>
      </c>
      <c r="C16" s="1" t="s">
        <v>109</v>
      </c>
      <c r="D16" s="1" t="s">
        <v>141</v>
      </c>
      <c r="E16" s="9" t="s">
        <v>20</v>
      </c>
      <c r="F16" s="10">
        <v>0</v>
      </c>
      <c r="G16" s="10">
        <v>0</v>
      </c>
      <c r="H16" s="12">
        <f>4352+11480</f>
        <v>15832</v>
      </c>
      <c r="I16" s="2" t="s">
        <v>102</v>
      </c>
      <c r="J16" s="2" t="s">
        <v>104</v>
      </c>
      <c r="K16" s="2" t="s">
        <v>98</v>
      </c>
    </row>
    <row r="17" spans="1:11" s="50" customFormat="1" ht="43.5" customHeight="1" x14ac:dyDescent="0.25">
      <c r="A17" s="2" t="s">
        <v>106</v>
      </c>
      <c r="B17" s="2" t="s">
        <v>102</v>
      </c>
      <c r="C17" s="1" t="s">
        <v>109</v>
      </c>
      <c r="D17" s="1" t="s">
        <v>141</v>
      </c>
      <c r="E17" s="9" t="s">
        <v>20</v>
      </c>
      <c r="F17" s="10">
        <v>0</v>
      </c>
      <c r="G17" s="10">
        <v>0</v>
      </c>
      <c r="H17" s="12">
        <f>6528+18488</f>
        <v>25016</v>
      </c>
      <c r="I17" s="2" t="s">
        <v>102</v>
      </c>
      <c r="J17" s="2" t="s">
        <v>104</v>
      </c>
      <c r="K17" s="2" t="s">
        <v>98</v>
      </c>
    </row>
    <row r="18" spans="1:11" s="50" customFormat="1" ht="43.5" customHeight="1" x14ac:dyDescent="0.25">
      <c r="A18" s="2" t="s">
        <v>107</v>
      </c>
      <c r="B18" s="2" t="s">
        <v>102</v>
      </c>
      <c r="C18" s="1" t="s">
        <v>109</v>
      </c>
      <c r="D18" s="1" t="s">
        <v>141</v>
      </c>
      <c r="E18" s="9" t="s">
        <v>20</v>
      </c>
      <c r="F18" s="10">
        <v>0</v>
      </c>
      <c r="G18" s="10">
        <v>0</v>
      </c>
      <c r="H18" s="12">
        <f>10752+11552</f>
        <v>22304</v>
      </c>
      <c r="I18" s="2" t="s">
        <v>102</v>
      </c>
      <c r="J18" s="2" t="s">
        <v>104</v>
      </c>
      <c r="K18" s="2" t="s">
        <v>98</v>
      </c>
    </row>
    <row r="19" spans="1:11" s="50" customFormat="1" ht="43.5" customHeight="1" x14ac:dyDescent="0.25">
      <c r="A19" s="2" t="s">
        <v>149</v>
      </c>
      <c r="B19" s="2" t="s">
        <v>158</v>
      </c>
      <c r="C19" s="1" t="s">
        <v>109</v>
      </c>
      <c r="D19" s="1" t="s">
        <v>141</v>
      </c>
      <c r="E19" s="9" t="s">
        <v>20</v>
      </c>
      <c r="F19" s="10">
        <v>0</v>
      </c>
      <c r="G19" s="10">
        <v>0</v>
      </c>
      <c r="H19" s="12">
        <v>575928</v>
      </c>
      <c r="I19" s="2" t="s">
        <v>158</v>
      </c>
      <c r="J19" s="2" t="s">
        <v>159</v>
      </c>
      <c r="K19" s="2" t="s">
        <v>160</v>
      </c>
    </row>
    <row r="20" spans="1:11" s="50" customFormat="1" ht="54" x14ac:dyDescent="0.25">
      <c r="A20" s="288" t="s">
        <v>196</v>
      </c>
      <c r="B20" s="288" t="s">
        <v>316</v>
      </c>
      <c r="C20" s="290" t="s">
        <v>301</v>
      </c>
      <c r="D20" s="290" t="s">
        <v>317</v>
      </c>
      <c r="E20" s="291" t="s">
        <v>274</v>
      </c>
      <c r="F20" s="287">
        <v>0</v>
      </c>
      <c r="G20" s="287">
        <v>0</v>
      </c>
      <c r="H20" s="289">
        <f>78295.83+23488.76+54807.07+156591.66+78295.83+78295.83+78474.18</f>
        <v>548249.16</v>
      </c>
      <c r="I20" s="288" t="s">
        <v>322</v>
      </c>
      <c r="J20" s="288" t="s">
        <v>323</v>
      </c>
      <c r="K20" s="288" t="s">
        <v>98</v>
      </c>
    </row>
    <row r="21" spans="1:11" s="50" customFormat="1" ht="72" x14ac:dyDescent="0.25">
      <c r="A21" s="288" t="s">
        <v>197</v>
      </c>
      <c r="B21" s="288" t="s">
        <v>318</v>
      </c>
      <c r="C21" s="290" t="s">
        <v>319</v>
      </c>
      <c r="D21" s="290" t="s">
        <v>320</v>
      </c>
      <c r="E21" s="291" t="s">
        <v>321</v>
      </c>
      <c r="F21" s="287">
        <v>0</v>
      </c>
      <c r="G21" s="287">
        <v>0</v>
      </c>
      <c r="H21" s="289">
        <f>76823.23+80465.53+76823.23+51173.23+50787+496115.51+451512.45</f>
        <v>1283700.18</v>
      </c>
      <c r="I21" s="288" t="s">
        <v>322</v>
      </c>
      <c r="J21" s="288" t="s">
        <v>324</v>
      </c>
      <c r="K21" s="288" t="s">
        <v>291</v>
      </c>
    </row>
    <row r="22" spans="1:11" s="114" customFormat="1" ht="54" x14ac:dyDescent="0.25">
      <c r="A22" s="354" t="s">
        <v>397</v>
      </c>
      <c r="B22" s="354" t="s">
        <v>443</v>
      </c>
      <c r="C22" s="345" t="s">
        <v>109</v>
      </c>
      <c r="D22" s="345" t="s">
        <v>440</v>
      </c>
      <c r="E22" s="347" t="s">
        <v>441</v>
      </c>
      <c r="F22" s="353">
        <v>0</v>
      </c>
      <c r="G22" s="353">
        <v>0</v>
      </c>
      <c r="H22" s="359">
        <f>280266.72+253843.8</f>
        <v>534110.52</v>
      </c>
      <c r="I22" s="354" t="s">
        <v>322</v>
      </c>
      <c r="J22" s="354" t="s">
        <v>444</v>
      </c>
      <c r="K22" s="354" t="s">
        <v>445</v>
      </c>
    </row>
    <row r="23" spans="1:11" s="114" customFormat="1" ht="54" x14ac:dyDescent="0.25">
      <c r="A23" s="354" t="s">
        <v>398</v>
      </c>
      <c r="B23" s="354" t="s">
        <v>316</v>
      </c>
      <c r="C23" s="345" t="s">
        <v>154</v>
      </c>
      <c r="D23" s="345"/>
      <c r="E23" s="347"/>
      <c r="F23" s="353">
        <v>1</v>
      </c>
      <c r="G23" s="353">
        <v>1</v>
      </c>
      <c r="H23" s="359">
        <v>405840</v>
      </c>
      <c r="I23" s="354" t="s">
        <v>322</v>
      </c>
      <c r="J23" s="354" t="s">
        <v>446</v>
      </c>
      <c r="K23" s="354" t="s">
        <v>445</v>
      </c>
    </row>
    <row r="24" spans="1:11" s="114" customFormat="1" ht="36" x14ac:dyDescent="0.25">
      <c r="A24" s="354" t="s">
        <v>178</v>
      </c>
      <c r="B24" s="354" t="s">
        <v>447</v>
      </c>
      <c r="C24" s="345" t="s">
        <v>448</v>
      </c>
      <c r="D24" s="345" t="s">
        <v>449</v>
      </c>
      <c r="E24" s="347" t="s">
        <v>450</v>
      </c>
      <c r="F24" s="353">
        <v>0</v>
      </c>
      <c r="G24" s="353">
        <v>0</v>
      </c>
      <c r="H24" s="359">
        <v>994500</v>
      </c>
      <c r="I24" s="354" t="s">
        <v>322</v>
      </c>
      <c r="J24" s="354" t="s">
        <v>451</v>
      </c>
      <c r="K24" s="354" t="s">
        <v>452</v>
      </c>
    </row>
    <row r="25" spans="1:11" s="416" customFormat="1" ht="54" x14ac:dyDescent="0.25">
      <c r="A25" s="2" t="s">
        <v>648</v>
      </c>
      <c r="B25" s="2" t="s">
        <v>685</v>
      </c>
      <c r="C25" s="434">
        <v>42011</v>
      </c>
      <c r="D25" s="434">
        <v>42370</v>
      </c>
      <c r="E25" s="9" t="s">
        <v>686</v>
      </c>
      <c r="F25" s="10"/>
      <c r="G25" s="10"/>
      <c r="H25" s="355">
        <f>368220+106590+184110</f>
        <v>658920</v>
      </c>
      <c r="I25" s="2" t="s">
        <v>322</v>
      </c>
      <c r="J25" s="2" t="s">
        <v>687</v>
      </c>
      <c r="K25" s="2" t="s">
        <v>452</v>
      </c>
    </row>
    <row r="26" spans="1:11" s="46" customFormat="1" ht="42" customHeight="1" x14ac:dyDescent="0.25">
      <c r="A26" s="45" t="s">
        <v>6</v>
      </c>
      <c r="B26" s="11"/>
      <c r="C26" s="11"/>
      <c r="D26" s="11"/>
      <c r="E26" s="5"/>
      <c r="F26" s="19"/>
      <c r="G26" s="5"/>
      <c r="H26" s="75">
        <f>SUM(H14:H25)</f>
        <v>11054511.030000001</v>
      </c>
      <c r="I26" s="11"/>
      <c r="J26" s="11"/>
      <c r="K26" s="11"/>
    </row>
    <row r="27" spans="1:11" s="46" customFormat="1" ht="29.1" customHeight="1" x14ac:dyDescent="0.25">
      <c r="A27" s="456"/>
      <c r="B27" s="456"/>
      <c r="C27" s="456"/>
      <c r="D27" s="456"/>
      <c r="E27" s="456"/>
      <c r="F27" s="456"/>
      <c r="G27" s="456"/>
      <c r="H27" s="456"/>
      <c r="I27" s="456"/>
      <c r="J27" s="456"/>
      <c r="K27" s="456"/>
    </row>
    <row r="28" spans="1:11" s="46" customFormat="1" ht="51" customHeight="1" x14ac:dyDescent="0.25">
      <c r="A28" s="458" t="s">
        <v>84</v>
      </c>
      <c r="B28" s="458"/>
      <c r="C28" s="458"/>
      <c r="D28" s="458"/>
      <c r="E28" s="458"/>
      <c r="F28" s="458"/>
      <c r="G28" s="458"/>
      <c r="H28" s="458"/>
      <c r="I28" s="458"/>
      <c r="J28" s="458"/>
      <c r="K28" s="458"/>
    </row>
    <row r="29" spans="1:11" s="46" customFormat="1" ht="47.25" customHeight="1" x14ac:dyDescent="0.25">
      <c r="A29" s="145" t="s">
        <v>0</v>
      </c>
      <c r="B29" s="150" t="s">
        <v>1</v>
      </c>
      <c r="C29" s="149" t="s">
        <v>12</v>
      </c>
      <c r="D29" s="149" t="s">
        <v>13</v>
      </c>
      <c r="E29" s="150" t="s">
        <v>2</v>
      </c>
      <c r="F29" s="151" t="s">
        <v>3</v>
      </c>
      <c r="G29" s="150" t="s">
        <v>4</v>
      </c>
      <c r="H29" s="75" t="s">
        <v>7</v>
      </c>
      <c r="I29" s="149" t="s">
        <v>14</v>
      </c>
      <c r="J29" s="149" t="s">
        <v>10</v>
      </c>
      <c r="K29" s="149" t="s">
        <v>9</v>
      </c>
    </row>
    <row r="30" spans="1:11" s="50" customFormat="1" ht="49.5" customHeight="1" x14ac:dyDescent="0.25">
      <c r="A30" s="31"/>
      <c r="B30" s="15"/>
      <c r="C30" s="32"/>
      <c r="D30" s="33"/>
      <c r="E30" s="16"/>
      <c r="F30" s="182"/>
      <c r="G30" s="182"/>
      <c r="H30" s="21">
        <v>0</v>
      </c>
      <c r="I30" s="7"/>
      <c r="J30" s="7"/>
      <c r="K30" s="7"/>
    </row>
    <row r="31" spans="1:11" s="50" customFormat="1" ht="49.5" customHeight="1" x14ac:dyDescent="0.25">
      <c r="A31" s="2"/>
      <c r="B31" s="2"/>
      <c r="C31" s="1"/>
      <c r="D31" s="1"/>
      <c r="E31" s="9"/>
      <c r="F31" s="36"/>
      <c r="G31" s="41"/>
      <c r="H31" s="12"/>
      <c r="I31" s="2"/>
      <c r="J31" s="2"/>
      <c r="K31" s="2"/>
    </row>
    <row r="32" spans="1:11" s="50" customFormat="1" ht="49.5" customHeight="1" x14ac:dyDescent="0.25">
      <c r="A32" s="45" t="s">
        <v>6</v>
      </c>
      <c r="B32" s="11"/>
      <c r="C32" s="11"/>
      <c r="D32" s="11"/>
      <c r="E32" s="5"/>
      <c r="F32" s="19"/>
      <c r="G32" s="5"/>
      <c r="H32" s="75">
        <f>SUM(H30:H31)</f>
        <v>0</v>
      </c>
      <c r="I32" s="11"/>
      <c r="J32" s="11"/>
      <c r="K32" s="11"/>
    </row>
    <row r="33" spans="1:11" s="46" customFormat="1" ht="29.1" customHeight="1" x14ac:dyDescent="0.25">
      <c r="B33" s="39"/>
      <c r="C33" s="39"/>
      <c r="D33" s="39"/>
      <c r="E33" s="136"/>
      <c r="F33" s="50"/>
      <c r="G33" s="136"/>
      <c r="H33" s="51"/>
      <c r="I33" s="39"/>
      <c r="J33" s="39"/>
      <c r="K33" s="39"/>
    </row>
    <row r="34" spans="1:11" s="50" customFormat="1" ht="43.5" customHeight="1" x14ac:dyDescent="0.25">
      <c r="A34" s="456"/>
      <c r="B34" s="456"/>
      <c r="C34" s="456"/>
      <c r="D34" s="456"/>
      <c r="E34" s="456"/>
      <c r="F34" s="456"/>
      <c r="G34" s="456"/>
      <c r="H34" s="456"/>
      <c r="I34" s="456"/>
      <c r="J34" s="456"/>
      <c r="K34" s="456"/>
    </row>
    <row r="35" spans="1:11" s="102" customFormat="1" ht="46.5" customHeight="1" x14ac:dyDescent="0.25">
      <c r="A35" s="456" t="s">
        <v>85</v>
      </c>
      <c r="B35" s="456"/>
      <c r="C35" s="456"/>
      <c r="D35" s="456"/>
      <c r="E35" s="456"/>
      <c r="F35" s="456"/>
      <c r="G35" s="456"/>
      <c r="H35" s="456"/>
      <c r="I35" s="456"/>
      <c r="J35" s="456"/>
      <c r="K35" s="456"/>
    </row>
    <row r="36" spans="1:11" s="102" customFormat="1" ht="36" customHeight="1" x14ac:dyDescent="0.25">
      <c r="A36" s="150" t="s">
        <v>0</v>
      </c>
      <c r="B36" s="150" t="s">
        <v>1</v>
      </c>
      <c r="C36" s="149" t="s">
        <v>12</v>
      </c>
      <c r="D36" s="149" t="s">
        <v>13</v>
      </c>
      <c r="E36" s="150" t="s">
        <v>2</v>
      </c>
      <c r="F36" s="151" t="s">
        <v>3</v>
      </c>
      <c r="G36" s="150" t="s">
        <v>4</v>
      </c>
      <c r="H36" s="75" t="s">
        <v>7</v>
      </c>
      <c r="I36" s="149" t="s">
        <v>14</v>
      </c>
      <c r="J36" s="149" t="s">
        <v>10</v>
      </c>
      <c r="K36" s="149" t="s">
        <v>9</v>
      </c>
    </row>
    <row r="37" spans="1:11" s="114" customFormat="1" ht="36" customHeight="1" x14ac:dyDescent="0.25">
      <c r="A37" s="47"/>
      <c r="B37" s="47"/>
      <c r="C37" s="189"/>
      <c r="D37" s="189"/>
      <c r="E37" s="47"/>
      <c r="F37" s="48"/>
      <c r="G37" s="47"/>
      <c r="H37" s="37">
        <v>0</v>
      </c>
      <c r="I37" s="189"/>
      <c r="J37" s="189"/>
      <c r="K37" s="189"/>
    </row>
    <row r="38" spans="1:11" s="50" customFormat="1" ht="42.75" customHeight="1" x14ac:dyDescent="0.25">
      <c r="A38" s="31"/>
      <c r="B38" s="2"/>
      <c r="C38" s="32"/>
      <c r="D38" s="33"/>
      <c r="E38" s="34"/>
      <c r="F38" s="182"/>
      <c r="G38" s="182"/>
      <c r="H38" s="21"/>
      <c r="I38" s="7"/>
      <c r="J38" s="7"/>
      <c r="K38" s="19"/>
    </row>
    <row r="39" spans="1:11" s="50" customFormat="1" ht="49.5" customHeight="1" x14ac:dyDescent="0.25">
      <c r="A39" s="53" t="s">
        <v>6</v>
      </c>
      <c r="B39" s="4"/>
      <c r="C39" s="4"/>
      <c r="D39" s="4"/>
      <c r="E39" s="5"/>
      <c r="F39" s="19"/>
      <c r="G39" s="20"/>
      <c r="H39" s="75">
        <f>SUM(H37:H38)</f>
        <v>0</v>
      </c>
      <c r="I39" s="11"/>
      <c r="J39" s="11"/>
      <c r="K39" s="11"/>
    </row>
    <row r="40" spans="1:11" s="102" customFormat="1" ht="33" customHeight="1" x14ac:dyDescent="0.25">
      <c r="A40" s="457"/>
      <c r="B40" s="457"/>
      <c r="C40" s="457"/>
      <c r="D40" s="457"/>
      <c r="E40" s="457"/>
      <c r="F40" s="457"/>
      <c r="G40" s="457"/>
      <c r="H40" s="457"/>
      <c r="I40" s="457"/>
      <c r="J40" s="457"/>
      <c r="K40" s="457"/>
    </row>
    <row r="41" spans="1:11" s="102" customFormat="1" ht="38.25" customHeight="1" x14ac:dyDescent="0.25">
      <c r="A41" s="450" t="s">
        <v>17</v>
      </c>
      <c r="B41" s="450"/>
      <c r="C41" s="450"/>
      <c r="D41" s="450"/>
      <c r="E41" s="450"/>
      <c r="F41" s="450"/>
      <c r="G41" s="450"/>
      <c r="H41" s="450"/>
      <c r="I41" s="450"/>
      <c r="J41" s="450"/>
      <c r="K41" s="450"/>
    </row>
    <row r="42" spans="1:11" s="50" customFormat="1" ht="45.75" customHeight="1" x14ac:dyDescent="0.25">
      <c r="A42" s="150" t="s">
        <v>0</v>
      </c>
      <c r="B42" s="150" t="s">
        <v>1</v>
      </c>
      <c r="C42" s="149" t="s">
        <v>12</v>
      </c>
      <c r="D42" s="149" t="s">
        <v>13</v>
      </c>
      <c r="E42" s="150" t="s">
        <v>2</v>
      </c>
      <c r="F42" s="151" t="s">
        <v>3</v>
      </c>
      <c r="G42" s="150" t="s">
        <v>4</v>
      </c>
      <c r="H42" s="75" t="s">
        <v>7</v>
      </c>
      <c r="I42" s="149" t="s">
        <v>14</v>
      </c>
      <c r="J42" s="149" t="s">
        <v>10</v>
      </c>
      <c r="K42" s="149" t="s">
        <v>9</v>
      </c>
    </row>
    <row r="43" spans="1:11" s="50" customFormat="1" ht="48.75" customHeight="1" x14ac:dyDescent="0.25">
      <c r="A43" s="31" t="s">
        <v>26</v>
      </c>
      <c r="B43" s="15" t="s">
        <v>27</v>
      </c>
      <c r="C43" s="32" t="s">
        <v>109</v>
      </c>
      <c r="D43" s="33" t="s">
        <v>141</v>
      </c>
      <c r="E43" s="16" t="s">
        <v>20</v>
      </c>
      <c r="F43" s="182"/>
      <c r="G43" s="182"/>
      <c r="H43" s="21">
        <f>760065+534090+34500+65835+62.5-534090</f>
        <v>860462.5</v>
      </c>
      <c r="I43" s="7"/>
      <c r="J43" s="7"/>
      <c r="K43" s="7"/>
    </row>
    <row r="44" spans="1:11" s="50" customFormat="1" ht="49.5" customHeight="1" x14ac:dyDescent="0.25">
      <c r="A44" s="53" t="s">
        <v>6</v>
      </c>
      <c r="B44" s="4"/>
      <c r="C44" s="4"/>
      <c r="D44" s="4"/>
      <c r="E44" s="5"/>
      <c r="F44" s="19"/>
      <c r="G44" s="5"/>
      <c r="H44" s="75">
        <f>SUM(H43:H43)</f>
        <v>860462.5</v>
      </c>
      <c r="I44" s="11"/>
      <c r="J44" s="11"/>
      <c r="K44" s="19"/>
    </row>
    <row r="45" spans="1:11" s="50" customFormat="1" ht="33" customHeight="1" x14ac:dyDescent="0.25">
      <c r="A45" s="457"/>
      <c r="B45" s="457"/>
      <c r="C45" s="457"/>
      <c r="D45" s="457"/>
      <c r="E45" s="457"/>
      <c r="F45" s="457"/>
      <c r="G45" s="457"/>
      <c r="H45" s="457"/>
      <c r="I45" s="457"/>
      <c r="J45" s="457"/>
      <c r="K45" s="457"/>
    </row>
    <row r="46" spans="1:11" s="50" customFormat="1" ht="55.5" customHeight="1" x14ac:dyDescent="0.25">
      <c r="A46" s="452" t="s">
        <v>18</v>
      </c>
      <c r="B46" s="452"/>
      <c r="C46" s="452"/>
      <c r="D46" s="452"/>
      <c r="E46" s="452"/>
      <c r="F46" s="452"/>
      <c r="G46" s="452"/>
      <c r="H46" s="452"/>
      <c r="I46" s="452"/>
      <c r="J46" s="452"/>
      <c r="K46" s="452"/>
    </row>
    <row r="47" spans="1:11" s="50" customFormat="1" ht="43.5" customHeight="1" x14ac:dyDescent="0.25">
      <c r="A47" s="150" t="s">
        <v>0</v>
      </c>
      <c r="B47" s="150" t="s">
        <v>1</v>
      </c>
      <c r="C47" s="149" t="s">
        <v>12</v>
      </c>
      <c r="D47" s="149" t="s">
        <v>13</v>
      </c>
      <c r="E47" s="150" t="s">
        <v>2</v>
      </c>
      <c r="F47" s="151" t="s">
        <v>3</v>
      </c>
      <c r="G47" s="150" t="s">
        <v>4</v>
      </c>
      <c r="H47" s="75" t="s">
        <v>7</v>
      </c>
      <c r="I47" s="149" t="s">
        <v>14</v>
      </c>
      <c r="J47" s="149" t="s">
        <v>10</v>
      </c>
      <c r="K47" s="149" t="s">
        <v>9</v>
      </c>
    </row>
    <row r="48" spans="1:11" s="50" customFormat="1" ht="90" x14ac:dyDescent="0.25">
      <c r="A48" s="2" t="s">
        <v>659</v>
      </c>
      <c r="B48" s="2" t="s">
        <v>688</v>
      </c>
      <c r="C48" s="42"/>
      <c r="D48" s="42"/>
      <c r="E48" s="9" t="s">
        <v>154</v>
      </c>
      <c r="F48" s="435">
        <v>1</v>
      </c>
      <c r="G48" s="435">
        <v>1</v>
      </c>
      <c r="H48" s="436">
        <v>30164</v>
      </c>
      <c r="I48" s="2" t="s">
        <v>626</v>
      </c>
      <c r="J48" s="2" t="s">
        <v>689</v>
      </c>
      <c r="K48" s="2" t="s">
        <v>690</v>
      </c>
    </row>
    <row r="49" spans="1:11" s="96" customFormat="1" ht="34.5" customHeight="1" x14ac:dyDescent="0.25">
      <c r="A49" s="7"/>
      <c r="B49" s="7"/>
      <c r="C49" s="68"/>
      <c r="D49" s="68"/>
      <c r="E49" s="25"/>
      <c r="F49" s="182"/>
      <c r="G49" s="182"/>
      <c r="H49" s="159"/>
      <c r="I49" s="7"/>
      <c r="J49" s="7"/>
      <c r="K49" s="7"/>
    </row>
    <row r="50" spans="1:11" ht="34.5" customHeight="1" x14ac:dyDescent="0.25">
      <c r="A50" s="45" t="s">
        <v>6</v>
      </c>
      <c r="B50" s="11"/>
      <c r="C50" s="11"/>
      <c r="D50" s="11"/>
      <c r="E50" s="5"/>
      <c r="F50" s="19"/>
      <c r="G50" s="5"/>
      <c r="H50" s="155">
        <f>SUM(H48:H49)</f>
        <v>30164</v>
      </c>
      <c r="I50" s="11"/>
      <c r="J50" s="11"/>
      <c r="K50" s="11"/>
    </row>
    <row r="51" spans="1:11" ht="43.5" customHeight="1" x14ac:dyDescent="0.25">
      <c r="A51" s="116"/>
      <c r="B51" s="117"/>
      <c r="C51" s="117"/>
      <c r="D51" s="117"/>
      <c r="E51" s="185"/>
      <c r="F51" s="46"/>
      <c r="G51" s="185"/>
      <c r="H51" s="193"/>
      <c r="I51" s="39"/>
      <c r="J51" s="39"/>
      <c r="K51" s="50"/>
    </row>
    <row r="52" spans="1:11" ht="49.5" customHeight="1" x14ac:dyDescent="0.25">
      <c r="A52" s="452" t="s">
        <v>19</v>
      </c>
      <c r="B52" s="452"/>
      <c r="C52" s="452"/>
      <c r="D52" s="452"/>
      <c r="E52" s="452"/>
      <c r="F52" s="452"/>
      <c r="G52" s="452"/>
      <c r="H52" s="452"/>
      <c r="I52" s="452"/>
      <c r="J52" s="452"/>
      <c r="K52" s="452"/>
    </row>
    <row r="53" spans="1:11" ht="45" customHeight="1" x14ac:dyDescent="0.25">
      <c r="A53" s="150" t="s">
        <v>0</v>
      </c>
      <c r="B53" s="150" t="s">
        <v>1</v>
      </c>
      <c r="C53" s="149" t="s">
        <v>12</v>
      </c>
      <c r="D53" s="149" t="s">
        <v>13</v>
      </c>
      <c r="E53" s="150" t="s">
        <v>2</v>
      </c>
      <c r="F53" s="151" t="s">
        <v>3</v>
      </c>
      <c r="G53" s="150" t="s">
        <v>4</v>
      </c>
      <c r="H53" s="155" t="s">
        <v>7</v>
      </c>
      <c r="I53" s="149" t="s">
        <v>14</v>
      </c>
      <c r="J53" s="149" t="s">
        <v>10</v>
      </c>
      <c r="K53" s="149" t="s">
        <v>9</v>
      </c>
    </row>
    <row r="54" spans="1:11" ht="44.25" customHeight="1" x14ac:dyDescent="0.25">
      <c r="A54" s="7"/>
      <c r="B54" s="7"/>
      <c r="C54" s="68"/>
      <c r="D54" s="68"/>
      <c r="E54" s="25"/>
      <c r="F54" s="48"/>
      <c r="G54" s="47"/>
      <c r="H54" s="159">
        <v>0</v>
      </c>
      <c r="I54" s="7"/>
      <c r="J54" s="7"/>
      <c r="K54" s="7"/>
    </row>
    <row r="55" spans="1:11" ht="44.25" customHeight="1" x14ac:dyDescent="0.25">
      <c r="A55" s="7"/>
      <c r="B55" s="7"/>
      <c r="C55" s="68"/>
      <c r="D55" s="68"/>
      <c r="E55" s="25"/>
      <c r="F55" s="48"/>
      <c r="G55" s="47"/>
      <c r="H55" s="159"/>
      <c r="I55" s="7"/>
      <c r="J55" s="7"/>
      <c r="K55" s="7"/>
    </row>
    <row r="56" spans="1:11" ht="44.25" customHeight="1" x14ac:dyDescent="0.25">
      <c r="A56" s="45" t="s">
        <v>6</v>
      </c>
      <c r="B56" s="11"/>
      <c r="C56" s="11"/>
      <c r="D56" s="11"/>
      <c r="E56" s="5"/>
      <c r="F56" s="19"/>
      <c r="G56" s="5"/>
      <c r="H56" s="155">
        <f>SUM(H54:H54)</f>
        <v>0</v>
      </c>
      <c r="I56" s="11"/>
      <c r="J56" s="11"/>
      <c r="K56" s="11"/>
    </row>
    <row r="57" spans="1:11" ht="27" customHeight="1" x14ac:dyDescent="0.25">
      <c r="A57" s="463"/>
      <c r="B57" s="463"/>
      <c r="C57" s="463"/>
      <c r="D57" s="463"/>
      <c r="E57" s="463"/>
      <c r="F57" s="463"/>
      <c r="G57" s="463"/>
      <c r="H57" s="463"/>
      <c r="I57" s="463"/>
      <c r="J57" s="463"/>
      <c r="K57" s="463"/>
    </row>
    <row r="58" spans="1:11" ht="30.75" customHeight="1" x14ac:dyDescent="0.25">
      <c r="A58" s="453"/>
      <c r="B58" s="453"/>
      <c r="C58" s="453"/>
      <c r="D58" s="453"/>
      <c r="E58" s="453"/>
      <c r="F58" s="453"/>
      <c r="G58" s="453"/>
      <c r="H58" s="453"/>
      <c r="I58" s="453"/>
      <c r="J58" s="453"/>
      <c r="K58" s="453"/>
    </row>
    <row r="59" spans="1:11" s="199" customFormat="1" ht="51.75" customHeight="1" x14ac:dyDescent="0.25">
      <c r="A59" s="188" t="s">
        <v>8</v>
      </c>
      <c r="B59" s="194"/>
      <c r="C59" s="194"/>
      <c r="D59" s="194"/>
      <c r="E59" s="195"/>
      <c r="F59" s="196"/>
      <c r="G59" s="195"/>
      <c r="H59" s="201">
        <f>+H56+H50+H44+H39+H32+H26</f>
        <v>11945137.530000001</v>
      </c>
      <c r="I59" s="197"/>
      <c r="J59" s="197"/>
      <c r="K59" s="198"/>
    </row>
  </sheetData>
  <mergeCells count="16">
    <mergeCell ref="A1:H1"/>
    <mergeCell ref="A8:K8"/>
    <mergeCell ref="A9:K9"/>
    <mergeCell ref="A12:K12"/>
    <mergeCell ref="A57:K58"/>
    <mergeCell ref="A10:K10"/>
    <mergeCell ref="A28:K28"/>
    <mergeCell ref="A34:K34"/>
    <mergeCell ref="A35:K35"/>
    <mergeCell ref="A40:K40"/>
    <mergeCell ref="A41:K41"/>
    <mergeCell ref="A45:K45"/>
    <mergeCell ref="A46:K46"/>
    <mergeCell ref="A27:K27"/>
    <mergeCell ref="A11:K11"/>
    <mergeCell ref="A52:K52"/>
  </mergeCells>
  <pageMargins left="0.7" right="0.7" top="0.75" bottom="0.75" header="0.3" footer="0.3"/>
  <pageSetup paperSize="8" scale="51" orientation="landscape" r:id="rId1"/>
  <rowBreaks count="1" manualBreakCount="1">
    <brk id="33"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view="pageBreakPreview" topLeftCell="C64" zoomScale="60" zoomScaleNormal="70" workbookViewId="0">
      <selection activeCell="I85" sqref="I85"/>
    </sheetView>
  </sheetViews>
  <sheetFormatPr defaultRowHeight="18" x14ac:dyDescent="0.25"/>
  <cols>
    <col min="1" max="1" width="58.28515625" style="29" customWidth="1"/>
    <col min="2" max="2" width="78.85546875" style="60" customWidth="1"/>
    <col min="3" max="3" width="20.5703125" style="60" customWidth="1"/>
    <col min="4" max="4" width="18.140625" style="60" bestFit="1" customWidth="1"/>
    <col min="5" max="5" width="16.85546875" style="59" customWidth="1"/>
    <col min="6" max="6" width="13.140625" style="29" customWidth="1"/>
    <col min="7" max="7" width="12.85546875" style="59" customWidth="1"/>
    <col min="8" max="8" width="25.5703125" style="177" customWidth="1"/>
    <col min="9" max="9" width="40.85546875" style="60" customWidth="1"/>
    <col min="10" max="10" width="75.140625" style="60" customWidth="1"/>
    <col min="11" max="11" width="21.140625" style="29" customWidth="1"/>
    <col min="12" max="12" width="9.140625" style="29"/>
    <col min="13" max="13" width="15.28515625" style="29" bestFit="1" customWidth="1"/>
    <col min="14" max="16384" width="9.140625" style="29"/>
  </cols>
  <sheetData>
    <row r="1" spans="1:14" s="27" customFormat="1" x14ac:dyDescent="0.25">
      <c r="A1" s="450"/>
      <c r="B1" s="450"/>
      <c r="C1" s="450"/>
      <c r="D1" s="450"/>
      <c r="E1" s="450"/>
      <c r="F1" s="450"/>
      <c r="G1" s="450"/>
      <c r="H1" s="450"/>
      <c r="I1" s="26"/>
      <c r="J1" s="26"/>
    </row>
    <row r="2" spans="1:14" s="27" customFormat="1" x14ac:dyDescent="0.25">
      <c r="A2" s="28"/>
      <c r="B2" s="28"/>
      <c r="C2" s="28"/>
      <c r="D2" s="28"/>
      <c r="E2" s="28"/>
      <c r="F2" s="28"/>
      <c r="G2" s="28"/>
      <c r="H2" s="153"/>
      <c r="I2" s="26"/>
      <c r="J2" s="26"/>
    </row>
    <row r="3" spans="1:14" s="27" customFormat="1" x14ac:dyDescent="0.25">
      <c r="A3" s="28"/>
      <c r="B3" s="28"/>
      <c r="C3" s="28"/>
      <c r="D3" s="28"/>
      <c r="E3" s="28"/>
      <c r="F3" s="28"/>
      <c r="G3" s="28"/>
      <c r="H3" s="153"/>
      <c r="I3" s="26"/>
      <c r="J3" s="26"/>
    </row>
    <row r="4" spans="1:14" s="27" customFormat="1" x14ac:dyDescent="0.25">
      <c r="A4" s="28"/>
      <c r="B4" s="28"/>
      <c r="C4" s="28"/>
      <c r="D4" s="28"/>
      <c r="E4" s="28"/>
      <c r="F4" s="28"/>
      <c r="G4" s="28"/>
      <c r="H4" s="153"/>
      <c r="I4" s="26"/>
      <c r="J4" s="26"/>
    </row>
    <row r="5" spans="1:14" s="27" customFormat="1" x14ac:dyDescent="0.25">
      <c r="A5" s="28"/>
      <c r="B5" s="28"/>
      <c r="C5" s="28"/>
      <c r="D5" s="28"/>
      <c r="E5" s="28"/>
      <c r="F5" s="28"/>
      <c r="G5" s="28"/>
      <c r="H5" s="153"/>
      <c r="I5" s="26"/>
      <c r="J5" s="26"/>
    </row>
    <row r="6" spans="1:14" s="27" customFormat="1" x14ac:dyDescent="0.25">
      <c r="A6" s="28"/>
      <c r="B6" s="28"/>
      <c r="C6" s="28"/>
      <c r="D6" s="28"/>
      <c r="E6" s="28"/>
      <c r="F6" s="28"/>
      <c r="G6" s="28"/>
      <c r="H6" s="153"/>
      <c r="I6" s="26"/>
      <c r="J6" s="26"/>
    </row>
    <row r="7" spans="1:14" s="27" customFormat="1" x14ac:dyDescent="0.25">
      <c r="A7" s="28"/>
      <c r="B7" s="28"/>
      <c r="C7" s="28"/>
      <c r="D7" s="28"/>
      <c r="E7" s="28"/>
      <c r="F7" s="28"/>
      <c r="G7" s="28"/>
      <c r="H7" s="153"/>
      <c r="I7" s="26"/>
      <c r="J7" s="26"/>
    </row>
    <row r="8" spans="1:14" ht="32.25" customHeight="1" x14ac:dyDescent="0.25">
      <c r="A8" s="450"/>
      <c r="B8" s="450"/>
      <c r="C8" s="450"/>
      <c r="D8" s="450"/>
      <c r="E8" s="450"/>
      <c r="F8" s="450"/>
      <c r="G8" s="450"/>
      <c r="H8" s="450"/>
      <c r="I8" s="450"/>
      <c r="J8" s="450"/>
      <c r="K8" s="450"/>
    </row>
    <row r="9" spans="1:14" ht="39.75" customHeight="1" x14ac:dyDescent="0.25">
      <c r="A9" s="451" t="s">
        <v>108</v>
      </c>
      <c r="B9" s="451"/>
      <c r="C9" s="451"/>
      <c r="D9" s="451"/>
      <c r="E9" s="451"/>
      <c r="F9" s="451"/>
      <c r="G9" s="451"/>
      <c r="H9" s="451"/>
      <c r="I9" s="451"/>
      <c r="J9" s="451"/>
      <c r="K9" s="451"/>
    </row>
    <row r="10" spans="1:14" ht="29.1" customHeight="1" x14ac:dyDescent="0.25">
      <c r="A10" s="452"/>
      <c r="B10" s="452"/>
      <c r="C10" s="452"/>
      <c r="D10" s="452"/>
      <c r="E10" s="452"/>
      <c r="F10" s="452"/>
      <c r="G10" s="452"/>
      <c r="H10" s="452"/>
      <c r="I10" s="452"/>
      <c r="J10" s="452"/>
      <c r="K10" s="452"/>
    </row>
    <row r="11" spans="1:14" ht="39.75" customHeight="1" x14ac:dyDescent="0.25">
      <c r="A11" s="452" t="s">
        <v>16</v>
      </c>
      <c r="B11" s="452"/>
      <c r="C11" s="452"/>
      <c r="D11" s="452"/>
      <c r="E11" s="452"/>
      <c r="F11" s="452"/>
      <c r="G11" s="452"/>
      <c r="H11" s="452"/>
      <c r="I11" s="452"/>
      <c r="J11" s="452"/>
      <c r="K11" s="452"/>
      <c r="N11" s="29" t="s">
        <v>15</v>
      </c>
    </row>
    <row r="12" spans="1:14" s="96" customFormat="1" ht="60.75" customHeight="1" x14ac:dyDescent="0.25">
      <c r="A12" s="145" t="s">
        <v>0</v>
      </c>
      <c r="B12" s="145" t="s">
        <v>1</v>
      </c>
      <c r="C12" s="146" t="s">
        <v>12</v>
      </c>
      <c r="D12" s="146" t="s">
        <v>13</v>
      </c>
      <c r="E12" s="145" t="s">
        <v>2</v>
      </c>
      <c r="F12" s="147" t="s">
        <v>3</v>
      </c>
      <c r="G12" s="145" t="s">
        <v>4</v>
      </c>
      <c r="H12" s="154" t="s">
        <v>5</v>
      </c>
      <c r="I12" s="149" t="s">
        <v>14</v>
      </c>
      <c r="J12" s="149" t="s">
        <v>10</v>
      </c>
      <c r="K12" s="149" t="s">
        <v>9</v>
      </c>
    </row>
    <row r="13" spans="1:14" s="96" customFormat="1" ht="50.25" customHeight="1" x14ac:dyDescent="0.25">
      <c r="A13" s="294" t="s">
        <v>209</v>
      </c>
      <c r="B13" s="294" t="s">
        <v>325</v>
      </c>
      <c r="C13" s="296" t="s">
        <v>154</v>
      </c>
      <c r="D13" s="296"/>
      <c r="E13" s="295"/>
      <c r="F13" s="262">
        <v>0</v>
      </c>
      <c r="G13" s="262">
        <v>0</v>
      </c>
      <c r="H13" s="337">
        <v>499582.2</v>
      </c>
      <c r="I13" s="293" t="s">
        <v>322</v>
      </c>
      <c r="J13" s="294" t="s">
        <v>338</v>
      </c>
      <c r="K13" s="292" t="s">
        <v>339</v>
      </c>
    </row>
    <row r="14" spans="1:14" s="96" customFormat="1" ht="54" x14ac:dyDescent="0.25">
      <c r="A14" s="294" t="s">
        <v>214</v>
      </c>
      <c r="B14" s="294" t="s">
        <v>326</v>
      </c>
      <c r="C14" s="296" t="s">
        <v>327</v>
      </c>
      <c r="D14" s="296" t="s">
        <v>317</v>
      </c>
      <c r="E14" s="295">
        <v>8</v>
      </c>
      <c r="F14" s="262">
        <v>0</v>
      </c>
      <c r="G14" s="262">
        <v>0</v>
      </c>
      <c r="H14" s="337">
        <v>497214.12</v>
      </c>
      <c r="I14" s="293" t="s">
        <v>322</v>
      </c>
      <c r="J14" s="294" t="s">
        <v>340</v>
      </c>
      <c r="K14" s="292" t="s">
        <v>254</v>
      </c>
    </row>
    <row r="15" spans="1:14" s="96" customFormat="1" ht="54" x14ac:dyDescent="0.25">
      <c r="A15" s="294" t="s">
        <v>210</v>
      </c>
      <c r="B15" s="294" t="s">
        <v>328</v>
      </c>
      <c r="C15" s="296" t="s">
        <v>329</v>
      </c>
      <c r="D15" s="296" t="s">
        <v>330</v>
      </c>
      <c r="E15" s="295" t="s">
        <v>331</v>
      </c>
      <c r="F15" s="262">
        <v>0</v>
      </c>
      <c r="G15" s="262">
        <v>0</v>
      </c>
      <c r="H15" s="337">
        <f>998238+531784</f>
        <v>1530022</v>
      </c>
      <c r="I15" s="293" t="s">
        <v>322</v>
      </c>
      <c r="J15" s="294" t="s">
        <v>341</v>
      </c>
      <c r="K15" s="292" t="s">
        <v>339</v>
      </c>
    </row>
    <row r="16" spans="1:14" s="96" customFormat="1" ht="36" x14ac:dyDescent="0.25">
      <c r="A16" s="294" t="s">
        <v>211</v>
      </c>
      <c r="B16" s="294" t="s">
        <v>332</v>
      </c>
      <c r="C16" s="296" t="s">
        <v>333</v>
      </c>
      <c r="D16" s="296" t="s">
        <v>334</v>
      </c>
      <c r="E16" s="295" t="s">
        <v>331</v>
      </c>
      <c r="F16" s="262">
        <v>0</v>
      </c>
      <c r="G16" s="262">
        <v>0</v>
      </c>
      <c r="H16" s="337">
        <f>199999.78+299999.66+199999.78+149999.83</f>
        <v>849999.04999999993</v>
      </c>
      <c r="I16" s="293" t="s">
        <v>322</v>
      </c>
      <c r="J16" s="294" t="s">
        <v>342</v>
      </c>
      <c r="K16" s="292" t="s">
        <v>343</v>
      </c>
    </row>
    <row r="17" spans="1:11" s="96" customFormat="1" ht="72" x14ac:dyDescent="0.25">
      <c r="A17" s="294" t="s">
        <v>212</v>
      </c>
      <c r="B17" s="294" t="s">
        <v>335</v>
      </c>
      <c r="C17" s="296" t="s">
        <v>336</v>
      </c>
      <c r="D17" s="296" t="s">
        <v>337</v>
      </c>
      <c r="E17" s="295" t="s">
        <v>20</v>
      </c>
      <c r="F17" s="262">
        <v>0</v>
      </c>
      <c r="G17" s="262">
        <v>0</v>
      </c>
      <c r="H17" s="337">
        <f>19323*2+19323+19323*4</f>
        <v>135261</v>
      </c>
      <c r="I17" s="293" t="s">
        <v>322</v>
      </c>
      <c r="J17" s="294" t="s">
        <v>344</v>
      </c>
      <c r="K17" s="292" t="s">
        <v>345</v>
      </c>
    </row>
    <row r="18" spans="1:11" s="96" customFormat="1" ht="50.25" customHeight="1" x14ac:dyDescent="0.25">
      <c r="A18" s="24" t="s">
        <v>213</v>
      </c>
      <c r="B18" s="24" t="s">
        <v>255</v>
      </c>
      <c r="C18" s="68" t="s">
        <v>109</v>
      </c>
      <c r="D18" s="68" t="s">
        <v>141</v>
      </c>
      <c r="E18" s="25" t="s">
        <v>20</v>
      </c>
      <c r="F18" s="262"/>
      <c r="G18" s="262"/>
      <c r="H18" s="337">
        <f>500000+250000</f>
        <v>750000</v>
      </c>
      <c r="I18" s="22" t="s">
        <v>158</v>
      </c>
      <c r="J18" s="24" t="s">
        <v>256</v>
      </c>
      <c r="K18" s="7" t="s">
        <v>257</v>
      </c>
    </row>
    <row r="19" spans="1:11" s="96" customFormat="1" ht="50.25" customHeight="1" x14ac:dyDescent="0.25">
      <c r="A19" s="24" t="s">
        <v>215</v>
      </c>
      <c r="B19" s="24" t="s">
        <v>251</v>
      </c>
      <c r="C19" s="68" t="s">
        <v>109</v>
      </c>
      <c r="D19" s="68" t="s">
        <v>141</v>
      </c>
      <c r="E19" s="25" t="s">
        <v>20</v>
      </c>
      <c r="F19" s="262"/>
      <c r="G19" s="262"/>
      <c r="H19" s="21">
        <v>22392</v>
      </c>
      <c r="I19" s="22" t="s">
        <v>252</v>
      </c>
      <c r="J19" s="24" t="s">
        <v>253</v>
      </c>
      <c r="K19" s="7" t="s">
        <v>254</v>
      </c>
    </row>
    <row r="20" spans="1:11" s="96" customFormat="1" ht="50.25" customHeight="1" x14ac:dyDescent="0.25">
      <c r="A20" s="24" t="s">
        <v>216</v>
      </c>
      <c r="B20" s="24" t="s">
        <v>251</v>
      </c>
      <c r="C20" s="68" t="s">
        <v>109</v>
      </c>
      <c r="D20" s="68" t="s">
        <v>141</v>
      </c>
      <c r="E20" s="25" t="s">
        <v>20</v>
      </c>
      <c r="F20" s="262"/>
      <c r="G20" s="262"/>
      <c r="H20" s="21">
        <f>7214.88+9494+7786+10262</f>
        <v>34756.880000000005</v>
      </c>
      <c r="I20" s="22" t="s">
        <v>252</v>
      </c>
      <c r="J20" s="24" t="s">
        <v>253</v>
      </c>
      <c r="K20" s="7" t="s">
        <v>254</v>
      </c>
    </row>
    <row r="21" spans="1:11" s="142" customFormat="1" ht="36" x14ac:dyDescent="0.25">
      <c r="A21" s="346" t="s">
        <v>399</v>
      </c>
      <c r="B21" s="346" t="s">
        <v>453</v>
      </c>
      <c r="C21" s="360" t="s">
        <v>454</v>
      </c>
      <c r="D21" s="360" t="s">
        <v>440</v>
      </c>
      <c r="E21" s="347" t="s">
        <v>20</v>
      </c>
      <c r="F21" s="351">
        <v>0</v>
      </c>
      <c r="G21" s="351">
        <v>0</v>
      </c>
      <c r="H21" s="359">
        <v>87500</v>
      </c>
      <c r="I21" s="345" t="s">
        <v>322</v>
      </c>
      <c r="J21" s="346" t="s">
        <v>455</v>
      </c>
      <c r="K21" s="354" t="s">
        <v>456</v>
      </c>
    </row>
    <row r="22" spans="1:11" s="142" customFormat="1" ht="108" x14ac:dyDescent="0.25">
      <c r="A22" s="346" t="s">
        <v>400</v>
      </c>
      <c r="B22" s="346" t="s">
        <v>457</v>
      </c>
      <c r="C22" s="360" t="s">
        <v>458</v>
      </c>
      <c r="D22" s="360" t="s">
        <v>459</v>
      </c>
      <c r="E22" s="347" t="s">
        <v>20</v>
      </c>
      <c r="F22" s="351">
        <v>0</v>
      </c>
      <c r="G22" s="351">
        <v>0</v>
      </c>
      <c r="H22" s="359">
        <v>223832.16</v>
      </c>
      <c r="I22" s="345" t="s">
        <v>322</v>
      </c>
      <c r="J22" s="346" t="s">
        <v>460</v>
      </c>
      <c r="K22" s="354" t="s">
        <v>461</v>
      </c>
    </row>
    <row r="23" spans="1:11" s="142" customFormat="1" ht="50.25" customHeight="1" x14ac:dyDescent="0.25">
      <c r="A23" s="346" t="s">
        <v>403</v>
      </c>
      <c r="B23" s="346" t="s">
        <v>251</v>
      </c>
      <c r="C23" s="360" t="s">
        <v>109</v>
      </c>
      <c r="D23" s="360" t="s">
        <v>141</v>
      </c>
      <c r="E23" s="347" t="s">
        <v>20</v>
      </c>
      <c r="F23" s="351"/>
      <c r="G23" s="351"/>
      <c r="H23" s="359">
        <f>21344.73+17049.92+4852.97+2176</f>
        <v>45423.619999999995</v>
      </c>
      <c r="I23" s="345" t="s">
        <v>252</v>
      </c>
      <c r="J23" s="346" t="s">
        <v>253</v>
      </c>
      <c r="K23" s="354" t="s">
        <v>254</v>
      </c>
    </row>
    <row r="24" spans="1:11" s="142" customFormat="1" ht="50.25" customHeight="1" x14ac:dyDescent="0.25">
      <c r="A24" s="346" t="s">
        <v>401</v>
      </c>
      <c r="B24" s="346" t="s">
        <v>251</v>
      </c>
      <c r="C24" s="360" t="s">
        <v>109</v>
      </c>
      <c r="D24" s="360" t="s">
        <v>141</v>
      </c>
      <c r="E24" s="347" t="s">
        <v>20</v>
      </c>
      <c r="F24" s="351"/>
      <c r="G24" s="351"/>
      <c r="H24" s="359">
        <f>47360.82+3588.62</f>
        <v>50949.440000000002</v>
      </c>
      <c r="I24" s="345" t="s">
        <v>252</v>
      </c>
      <c r="J24" s="346" t="s">
        <v>253</v>
      </c>
      <c r="K24" s="354" t="s">
        <v>254</v>
      </c>
    </row>
    <row r="25" spans="1:11" s="142" customFormat="1" ht="50.25" customHeight="1" x14ac:dyDescent="0.25">
      <c r="A25" s="346" t="s">
        <v>402</v>
      </c>
      <c r="B25" s="346" t="s">
        <v>251</v>
      </c>
      <c r="C25" s="360" t="s">
        <v>109</v>
      </c>
      <c r="D25" s="360" t="s">
        <v>141</v>
      </c>
      <c r="E25" s="347" t="s">
        <v>20</v>
      </c>
      <c r="F25" s="351"/>
      <c r="G25" s="351"/>
      <c r="H25" s="359">
        <v>10658.21</v>
      </c>
      <c r="I25" s="345" t="s">
        <v>252</v>
      </c>
      <c r="J25" s="346" t="s">
        <v>253</v>
      </c>
      <c r="K25" s="354" t="s">
        <v>254</v>
      </c>
    </row>
    <row r="26" spans="1:11" s="142" customFormat="1" ht="50.25" customHeight="1" x14ac:dyDescent="0.25">
      <c r="A26" s="346" t="s">
        <v>404</v>
      </c>
      <c r="B26" s="346" t="s">
        <v>251</v>
      </c>
      <c r="C26" s="360" t="s">
        <v>109</v>
      </c>
      <c r="D26" s="360" t="s">
        <v>141</v>
      </c>
      <c r="E26" s="347" t="s">
        <v>20</v>
      </c>
      <c r="F26" s="351"/>
      <c r="G26" s="351"/>
      <c r="H26" s="359">
        <f>14695.14+22224+7660.99+6743.14</f>
        <v>51323.27</v>
      </c>
      <c r="I26" s="345" t="s">
        <v>252</v>
      </c>
      <c r="J26" s="346" t="s">
        <v>253</v>
      </c>
      <c r="K26" s="354" t="s">
        <v>254</v>
      </c>
    </row>
    <row r="27" spans="1:11" s="142" customFormat="1" ht="50.25" customHeight="1" x14ac:dyDescent="0.25">
      <c r="A27" s="346" t="s">
        <v>405</v>
      </c>
      <c r="B27" s="346" t="s">
        <v>251</v>
      </c>
      <c r="C27" s="360" t="s">
        <v>109</v>
      </c>
      <c r="D27" s="360" t="s">
        <v>141</v>
      </c>
      <c r="E27" s="347" t="s">
        <v>20</v>
      </c>
      <c r="F27" s="351"/>
      <c r="G27" s="351"/>
      <c r="H27" s="359">
        <f>4733.05+5120.01</f>
        <v>9853.0600000000013</v>
      </c>
      <c r="I27" s="345" t="s">
        <v>252</v>
      </c>
      <c r="J27" s="346" t="s">
        <v>253</v>
      </c>
      <c r="K27" s="354" t="s">
        <v>254</v>
      </c>
    </row>
    <row r="28" spans="1:11" s="378" customFormat="1" ht="72" x14ac:dyDescent="0.25">
      <c r="A28" s="346" t="s">
        <v>487</v>
      </c>
      <c r="B28" s="346" t="s">
        <v>517</v>
      </c>
      <c r="C28" s="360" t="s">
        <v>518</v>
      </c>
      <c r="D28" s="360" t="s">
        <v>266</v>
      </c>
      <c r="E28" s="374" t="s">
        <v>331</v>
      </c>
      <c r="F28" s="351">
        <v>0</v>
      </c>
      <c r="G28" s="351">
        <v>0</v>
      </c>
      <c r="H28" s="359">
        <f>325000+45014+42550</f>
        <v>412564</v>
      </c>
      <c r="I28" s="373" t="s">
        <v>322</v>
      </c>
      <c r="J28" s="346" t="s">
        <v>523</v>
      </c>
      <c r="K28" s="372" t="s">
        <v>524</v>
      </c>
    </row>
    <row r="29" spans="1:11" s="378" customFormat="1" ht="50.25" customHeight="1" x14ac:dyDescent="0.25">
      <c r="A29" s="346" t="s">
        <v>488</v>
      </c>
      <c r="B29" s="346" t="s">
        <v>519</v>
      </c>
      <c r="C29" s="360" t="s">
        <v>520</v>
      </c>
      <c r="D29" s="360" t="s">
        <v>521</v>
      </c>
      <c r="E29" s="374" t="s">
        <v>522</v>
      </c>
      <c r="F29" s="351">
        <v>0</v>
      </c>
      <c r="G29" s="351">
        <v>0</v>
      </c>
      <c r="H29" s="359">
        <v>315462</v>
      </c>
      <c r="I29" s="373" t="s">
        <v>322</v>
      </c>
      <c r="J29" s="346" t="s">
        <v>525</v>
      </c>
      <c r="K29" s="372" t="s">
        <v>254</v>
      </c>
    </row>
    <row r="30" spans="1:11" s="378" customFormat="1" ht="50.25" customHeight="1" x14ac:dyDescent="0.25">
      <c r="A30" s="346" t="s">
        <v>489</v>
      </c>
      <c r="B30" s="346" t="s">
        <v>533</v>
      </c>
      <c r="C30" s="360" t="s">
        <v>109</v>
      </c>
      <c r="D30" s="360" t="s">
        <v>31</v>
      </c>
      <c r="E30" s="374" t="s">
        <v>20</v>
      </c>
      <c r="F30" s="351"/>
      <c r="G30" s="351"/>
      <c r="H30" s="359">
        <f>4352+25296+16320+11968</f>
        <v>57936</v>
      </c>
      <c r="I30" s="373" t="s">
        <v>50</v>
      </c>
      <c r="J30" s="346" t="s">
        <v>534</v>
      </c>
      <c r="K30" s="372" t="s">
        <v>254</v>
      </c>
    </row>
    <row r="31" spans="1:11" s="402" customFormat="1" ht="54" x14ac:dyDescent="0.25">
      <c r="A31" s="413" t="s">
        <v>178</v>
      </c>
      <c r="B31" s="413" t="s">
        <v>582</v>
      </c>
      <c r="C31" s="393" t="s">
        <v>352</v>
      </c>
      <c r="D31" s="393" t="s">
        <v>266</v>
      </c>
      <c r="E31" s="414" t="s">
        <v>20</v>
      </c>
      <c r="F31" s="394">
        <v>0</v>
      </c>
      <c r="G31" s="394">
        <v>0</v>
      </c>
      <c r="H31" s="412">
        <v>156962.04</v>
      </c>
      <c r="I31" s="397" t="s">
        <v>322</v>
      </c>
      <c r="J31" s="413" t="s">
        <v>583</v>
      </c>
      <c r="K31" s="411" t="s">
        <v>461</v>
      </c>
    </row>
    <row r="32" spans="1:11" s="402" customFormat="1" ht="54" x14ac:dyDescent="0.25">
      <c r="A32" s="413" t="s">
        <v>233</v>
      </c>
      <c r="B32" s="413" t="s">
        <v>585</v>
      </c>
      <c r="C32" s="393" t="s">
        <v>154</v>
      </c>
      <c r="D32" s="393"/>
      <c r="E32" s="414"/>
      <c r="F32" s="394">
        <v>0</v>
      </c>
      <c r="G32" s="394">
        <v>0</v>
      </c>
      <c r="H32" s="412">
        <v>136310.01</v>
      </c>
      <c r="I32" s="397" t="s">
        <v>322</v>
      </c>
      <c r="J32" s="413" t="s">
        <v>584</v>
      </c>
      <c r="K32" s="411" t="s">
        <v>254</v>
      </c>
    </row>
    <row r="33" spans="1:11" s="402" customFormat="1" ht="72" x14ac:dyDescent="0.25">
      <c r="A33" s="8" t="s">
        <v>649</v>
      </c>
      <c r="B33" s="8" t="s">
        <v>691</v>
      </c>
      <c r="C33" s="42" t="s">
        <v>154</v>
      </c>
      <c r="D33" s="42"/>
      <c r="E33" s="9"/>
      <c r="F33" s="181">
        <v>0.51</v>
      </c>
      <c r="G33" s="181">
        <v>0.51</v>
      </c>
      <c r="H33" s="355">
        <v>233996.4</v>
      </c>
      <c r="I33" s="1" t="s">
        <v>322</v>
      </c>
      <c r="J33" s="8" t="s">
        <v>692</v>
      </c>
      <c r="K33" s="2"/>
    </row>
    <row r="34" spans="1:11" s="402" customFormat="1" ht="23.25" customHeight="1" x14ac:dyDescent="0.25">
      <c r="A34" s="413" t="s">
        <v>650</v>
      </c>
      <c r="B34" s="413" t="s">
        <v>251</v>
      </c>
      <c r="C34" s="393" t="s">
        <v>109</v>
      </c>
      <c r="D34" s="393" t="s">
        <v>141</v>
      </c>
      <c r="E34" s="414" t="s">
        <v>20</v>
      </c>
      <c r="F34" s="394"/>
      <c r="G34" s="394"/>
      <c r="H34" s="412">
        <f>1632+8202+3414.92+3264+1632</f>
        <v>18144.919999999998</v>
      </c>
      <c r="I34" s="397" t="s">
        <v>252</v>
      </c>
      <c r="J34" s="413" t="s">
        <v>253</v>
      </c>
      <c r="K34" s="411" t="s">
        <v>254</v>
      </c>
    </row>
    <row r="35" spans="1:11" s="96" customFormat="1" ht="54.75" customHeight="1" x14ac:dyDescent="0.25">
      <c r="A35" s="53" t="s">
        <v>6</v>
      </c>
      <c r="B35" s="4"/>
      <c r="C35" s="4"/>
      <c r="D35" s="4"/>
      <c r="E35" s="5"/>
      <c r="F35" s="19"/>
      <c r="G35" s="20"/>
      <c r="H35" s="75">
        <f>SUM(H13:H34)</f>
        <v>6130142.3799999999</v>
      </c>
      <c r="I35" s="11" t="s">
        <v>110</v>
      </c>
      <c r="J35" s="11"/>
      <c r="K35" s="11"/>
    </row>
    <row r="36" spans="1:11" s="96" customFormat="1" ht="32.25" customHeight="1" x14ac:dyDescent="0.25">
      <c r="A36" s="456"/>
      <c r="B36" s="456"/>
      <c r="C36" s="456"/>
      <c r="D36" s="456"/>
      <c r="E36" s="456"/>
      <c r="F36" s="456"/>
      <c r="G36" s="456"/>
      <c r="H36" s="456"/>
      <c r="I36" s="456"/>
      <c r="J36" s="456"/>
      <c r="K36" s="456"/>
    </row>
    <row r="37" spans="1:11" s="96" customFormat="1" ht="42" customHeight="1" x14ac:dyDescent="0.25">
      <c r="A37" s="458" t="s">
        <v>84</v>
      </c>
      <c r="B37" s="458"/>
      <c r="C37" s="458"/>
      <c r="D37" s="458"/>
      <c r="E37" s="458"/>
      <c r="F37" s="458"/>
      <c r="G37" s="458"/>
      <c r="H37" s="458"/>
      <c r="I37" s="458"/>
      <c r="J37" s="458"/>
      <c r="K37" s="458"/>
    </row>
    <row r="38" spans="1:11" s="96" customFormat="1" ht="49.5" customHeight="1" x14ac:dyDescent="0.25">
      <c r="A38" s="150" t="s">
        <v>0</v>
      </c>
      <c r="B38" s="150" t="s">
        <v>1</v>
      </c>
      <c r="C38" s="149" t="s">
        <v>12</v>
      </c>
      <c r="D38" s="149" t="s">
        <v>13</v>
      </c>
      <c r="E38" s="150" t="s">
        <v>2</v>
      </c>
      <c r="F38" s="151" t="s">
        <v>3</v>
      </c>
      <c r="G38" s="150" t="s">
        <v>4</v>
      </c>
      <c r="H38" s="155" t="s">
        <v>7</v>
      </c>
      <c r="I38" s="149" t="s">
        <v>14</v>
      </c>
      <c r="J38" s="149" t="s">
        <v>10</v>
      </c>
      <c r="K38" s="149" t="s">
        <v>9</v>
      </c>
    </row>
    <row r="39" spans="1:11" s="96" customFormat="1" ht="49.5" customHeight="1" x14ac:dyDescent="0.25">
      <c r="A39" s="31"/>
      <c r="B39" s="138"/>
      <c r="C39" s="80"/>
      <c r="D39" s="80"/>
      <c r="E39" s="16"/>
      <c r="F39" s="6"/>
      <c r="G39" s="6"/>
      <c r="H39" s="12">
        <v>0</v>
      </c>
      <c r="I39" s="17"/>
      <c r="J39" s="22"/>
      <c r="K39" s="11"/>
    </row>
    <row r="40" spans="1:11" s="96" customFormat="1" ht="49.5" customHeight="1" x14ac:dyDescent="0.25">
      <c r="A40" s="18"/>
      <c r="B40" s="7"/>
      <c r="C40" s="80"/>
      <c r="D40" s="80"/>
      <c r="E40" s="25"/>
      <c r="F40" s="6"/>
      <c r="G40" s="6"/>
      <c r="H40" s="170"/>
      <c r="I40" s="78"/>
      <c r="J40" s="7"/>
      <c r="K40" s="7"/>
    </row>
    <row r="41" spans="1:11" s="96" customFormat="1" ht="42" customHeight="1" x14ac:dyDescent="0.25">
      <c r="A41" s="53" t="s">
        <v>6</v>
      </c>
      <c r="B41" s="11"/>
      <c r="C41" s="11"/>
      <c r="D41" s="11"/>
      <c r="E41" s="5"/>
      <c r="F41" s="44"/>
      <c r="G41" s="44"/>
      <c r="H41" s="155">
        <f>SUM(H39:H40)</f>
        <v>0</v>
      </c>
      <c r="I41" s="11"/>
      <c r="J41" s="11"/>
      <c r="K41" s="30"/>
    </row>
    <row r="42" spans="1:11" s="96" customFormat="1" ht="32.25" customHeight="1" x14ac:dyDescent="0.25">
      <c r="A42" s="460"/>
      <c r="B42" s="460"/>
      <c r="C42" s="460"/>
      <c r="D42" s="460"/>
      <c r="E42" s="460"/>
      <c r="F42" s="460"/>
      <c r="G42" s="460"/>
      <c r="H42" s="460"/>
      <c r="I42" s="460"/>
      <c r="J42" s="460"/>
      <c r="K42" s="460"/>
    </row>
    <row r="43" spans="1:11" s="96" customFormat="1" ht="51" customHeight="1" x14ac:dyDescent="0.25">
      <c r="A43" s="456" t="s">
        <v>85</v>
      </c>
      <c r="B43" s="456"/>
      <c r="C43" s="456"/>
      <c r="D43" s="456"/>
      <c r="E43" s="456"/>
      <c r="F43" s="456"/>
      <c r="G43" s="456"/>
      <c r="H43" s="456"/>
      <c r="I43" s="456"/>
      <c r="J43" s="456"/>
      <c r="K43" s="456"/>
    </row>
    <row r="44" spans="1:11" s="96" customFormat="1" ht="40.5" customHeight="1" x14ac:dyDescent="0.25">
      <c r="A44" s="150" t="s">
        <v>0</v>
      </c>
      <c r="B44" s="150" t="s">
        <v>1</v>
      </c>
      <c r="C44" s="149" t="s">
        <v>12</v>
      </c>
      <c r="D44" s="149" t="s">
        <v>13</v>
      </c>
      <c r="E44" s="150" t="s">
        <v>2</v>
      </c>
      <c r="F44" s="151" t="s">
        <v>3</v>
      </c>
      <c r="G44" s="150" t="s">
        <v>4</v>
      </c>
      <c r="H44" s="155" t="s">
        <v>7</v>
      </c>
      <c r="I44" s="149" t="s">
        <v>14</v>
      </c>
      <c r="J44" s="149" t="s">
        <v>10</v>
      </c>
      <c r="K44" s="149" t="s">
        <v>9</v>
      </c>
    </row>
    <row r="45" spans="1:11" s="96" customFormat="1" ht="40.5" customHeight="1" x14ac:dyDescent="0.25">
      <c r="A45" s="31"/>
      <c r="B45" s="2"/>
      <c r="C45" s="80"/>
      <c r="D45" s="80"/>
      <c r="E45" s="16"/>
      <c r="F45" s="6"/>
      <c r="G45" s="6"/>
      <c r="H45" s="12">
        <v>0</v>
      </c>
      <c r="I45" s="17"/>
      <c r="J45" s="22"/>
      <c r="K45" s="22" t="s">
        <v>45</v>
      </c>
    </row>
    <row r="46" spans="1:11" s="114" customFormat="1" ht="36" customHeight="1" x14ac:dyDescent="0.25">
      <c r="A46" s="18"/>
      <c r="B46" s="143"/>
      <c r="C46" s="80"/>
      <c r="D46" s="80"/>
      <c r="E46" s="16"/>
      <c r="F46" s="81"/>
      <c r="G46" s="6"/>
      <c r="H46" s="171"/>
      <c r="I46" s="7"/>
      <c r="J46" s="143"/>
      <c r="K46" s="2"/>
    </row>
    <row r="47" spans="1:11" s="114" customFormat="1" ht="38.25" customHeight="1" x14ac:dyDescent="0.25">
      <c r="A47" s="45" t="s">
        <v>6</v>
      </c>
      <c r="B47" s="30"/>
      <c r="C47" s="30"/>
      <c r="D47" s="30"/>
      <c r="E47" s="40"/>
      <c r="F47" s="45"/>
      <c r="G47" s="40"/>
      <c r="H47" s="158">
        <f>SUM(H45:H46)</f>
        <v>0</v>
      </c>
      <c r="I47" s="11"/>
      <c r="J47" s="11"/>
      <c r="K47" s="11"/>
    </row>
    <row r="48" spans="1:11" s="114" customFormat="1" ht="36.75" customHeight="1" x14ac:dyDescent="0.25">
      <c r="A48" s="459"/>
      <c r="B48" s="459"/>
      <c r="C48" s="459"/>
      <c r="D48" s="459"/>
      <c r="E48" s="459"/>
      <c r="F48" s="459"/>
      <c r="G48" s="459"/>
      <c r="H48" s="459"/>
      <c r="I48" s="459"/>
      <c r="J48" s="459"/>
      <c r="K48" s="459"/>
    </row>
    <row r="49" spans="1:11" s="114" customFormat="1" ht="42.75" customHeight="1" x14ac:dyDescent="0.25">
      <c r="A49" s="450" t="s">
        <v>17</v>
      </c>
      <c r="B49" s="450"/>
      <c r="C49" s="450"/>
      <c r="D49" s="450"/>
      <c r="E49" s="450"/>
      <c r="F49" s="450"/>
      <c r="G49" s="450"/>
      <c r="H49" s="450"/>
      <c r="I49" s="450"/>
      <c r="J49" s="450"/>
      <c r="K49" s="450"/>
    </row>
    <row r="50" spans="1:11" s="114" customFormat="1" ht="38.25" customHeight="1" x14ac:dyDescent="0.25">
      <c r="A50" s="150" t="s">
        <v>0</v>
      </c>
      <c r="B50" s="150" t="s">
        <v>1</v>
      </c>
      <c r="C50" s="149" t="s">
        <v>12</v>
      </c>
      <c r="D50" s="149" t="s">
        <v>13</v>
      </c>
      <c r="E50" s="150" t="s">
        <v>2</v>
      </c>
      <c r="F50" s="151" t="s">
        <v>3</v>
      </c>
      <c r="G50" s="150" t="s">
        <v>4</v>
      </c>
      <c r="H50" s="155" t="s">
        <v>7</v>
      </c>
      <c r="I50" s="149" t="s">
        <v>14</v>
      </c>
      <c r="J50" s="149" t="s">
        <v>10</v>
      </c>
      <c r="K50" s="149" t="s">
        <v>9</v>
      </c>
    </row>
    <row r="51" spans="1:11" s="114" customFormat="1" ht="38.25" customHeight="1" x14ac:dyDescent="0.25">
      <c r="A51" s="31" t="s">
        <v>26</v>
      </c>
      <c r="B51" s="2" t="s">
        <v>27</v>
      </c>
      <c r="C51" s="32" t="s">
        <v>32</v>
      </c>
      <c r="D51" s="33" t="s">
        <v>31</v>
      </c>
      <c r="E51" s="34" t="s">
        <v>20</v>
      </c>
      <c r="F51" s="182">
        <v>0</v>
      </c>
      <c r="G51" s="182">
        <v>0</v>
      </c>
      <c r="H51" s="21">
        <f>17242.5+51061+2351.25+1567.5</f>
        <v>72222.25</v>
      </c>
      <c r="I51" s="7" t="s">
        <v>22</v>
      </c>
      <c r="J51" s="7" t="s">
        <v>28</v>
      </c>
      <c r="K51" s="19" t="s">
        <v>29</v>
      </c>
    </row>
    <row r="52" spans="1:11" s="114" customFormat="1" ht="38.25" customHeight="1" x14ac:dyDescent="0.25">
      <c r="A52" s="31"/>
      <c r="B52" s="2"/>
      <c r="C52" s="32"/>
      <c r="D52" s="33"/>
      <c r="E52" s="34"/>
      <c r="F52" s="182"/>
      <c r="G52" s="182"/>
      <c r="H52" s="21"/>
      <c r="I52" s="7"/>
      <c r="J52" s="7"/>
      <c r="K52" s="19"/>
    </row>
    <row r="53" spans="1:11" s="114" customFormat="1" ht="41.25" customHeight="1" x14ac:dyDescent="0.25">
      <c r="A53" s="53" t="s">
        <v>6</v>
      </c>
      <c r="B53" s="4"/>
      <c r="C53" s="4"/>
      <c r="D53" s="4"/>
      <c r="E53" s="5"/>
      <c r="F53" s="19"/>
      <c r="G53" s="20"/>
      <c r="H53" s="75">
        <f>SUM(H51:H52)</f>
        <v>72222.25</v>
      </c>
      <c r="I53" s="11"/>
      <c r="J53" s="11"/>
      <c r="K53" s="11"/>
    </row>
    <row r="54" spans="1:11" s="125" customFormat="1" ht="29.25" customHeight="1" x14ac:dyDescent="0.25">
      <c r="A54" s="456"/>
      <c r="B54" s="456"/>
      <c r="C54" s="456"/>
      <c r="D54" s="456"/>
      <c r="E54" s="456"/>
      <c r="F54" s="456"/>
      <c r="G54" s="456"/>
      <c r="H54" s="456"/>
      <c r="I54" s="456"/>
      <c r="J54" s="456"/>
      <c r="K54" s="456"/>
    </row>
    <row r="55" spans="1:11" s="114" customFormat="1" ht="42.75" customHeight="1" x14ac:dyDescent="0.25">
      <c r="A55" s="452" t="s">
        <v>18</v>
      </c>
      <c r="B55" s="452"/>
      <c r="C55" s="452"/>
      <c r="D55" s="452"/>
      <c r="E55" s="452"/>
      <c r="F55" s="452"/>
      <c r="G55" s="452"/>
      <c r="H55" s="452"/>
      <c r="I55" s="452"/>
      <c r="J55" s="452"/>
      <c r="K55" s="452"/>
    </row>
    <row r="56" spans="1:11" s="114" customFormat="1" ht="39" customHeight="1" x14ac:dyDescent="0.25">
      <c r="A56" s="150" t="s">
        <v>0</v>
      </c>
      <c r="B56" s="150" t="s">
        <v>1</v>
      </c>
      <c r="C56" s="149" t="s">
        <v>12</v>
      </c>
      <c r="D56" s="149" t="s">
        <v>13</v>
      </c>
      <c r="E56" s="150" t="s">
        <v>2</v>
      </c>
      <c r="F56" s="151" t="s">
        <v>3</v>
      </c>
      <c r="G56" s="150" t="s">
        <v>4</v>
      </c>
      <c r="H56" s="155" t="s">
        <v>7</v>
      </c>
      <c r="I56" s="149" t="s">
        <v>14</v>
      </c>
      <c r="J56" s="149" t="s">
        <v>10</v>
      </c>
      <c r="K56" s="149" t="s">
        <v>9</v>
      </c>
    </row>
    <row r="57" spans="1:11" s="114" customFormat="1" ht="41.25" customHeight="1" x14ac:dyDescent="0.25">
      <c r="A57" s="8" t="s">
        <v>150</v>
      </c>
      <c r="B57" s="8" t="s">
        <v>163</v>
      </c>
      <c r="C57" s="42" t="s">
        <v>164</v>
      </c>
      <c r="D57" s="42"/>
      <c r="E57" s="9"/>
      <c r="F57" s="10">
        <v>0</v>
      </c>
      <c r="G57" s="10">
        <v>0</v>
      </c>
      <c r="H57" s="256">
        <v>6000</v>
      </c>
      <c r="I57" s="1" t="s">
        <v>163</v>
      </c>
      <c r="J57" s="1" t="s">
        <v>165</v>
      </c>
      <c r="K57" s="2" t="s">
        <v>166</v>
      </c>
    </row>
    <row r="58" spans="1:11" s="114" customFormat="1" ht="36" customHeight="1" x14ac:dyDescent="0.25">
      <c r="A58" s="300" t="s">
        <v>217</v>
      </c>
      <c r="B58" s="300" t="s">
        <v>346</v>
      </c>
      <c r="C58" s="302" t="s">
        <v>164</v>
      </c>
      <c r="D58" s="302"/>
      <c r="E58" s="301"/>
      <c r="F58" s="297">
        <v>0</v>
      </c>
      <c r="G58" s="297">
        <v>0</v>
      </c>
      <c r="H58" s="303">
        <v>84525</v>
      </c>
      <c r="I58" s="299" t="s">
        <v>155</v>
      </c>
      <c r="J58" s="299" t="s">
        <v>348</v>
      </c>
      <c r="K58" s="298" t="s">
        <v>349</v>
      </c>
    </row>
    <row r="59" spans="1:11" s="114" customFormat="1" ht="36" customHeight="1" x14ac:dyDescent="0.25">
      <c r="A59" s="300" t="s">
        <v>218</v>
      </c>
      <c r="B59" s="300" t="s">
        <v>347</v>
      </c>
      <c r="C59" s="302" t="s">
        <v>164</v>
      </c>
      <c r="D59" s="302"/>
      <c r="E59" s="301"/>
      <c r="F59" s="297">
        <v>0</v>
      </c>
      <c r="G59" s="297">
        <v>0</v>
      </c>
      <c r="H59" s="303">
        <f>6800+450+600+820</f>
        <v>8670</v>
      </c>
      <c r="I59" s="299" t="s">
        <v>155</v>
      </c>
      <c r="J59" s="299" t="s">
        <v>350</v>
      </c>
      <c r="K59" s="298" t="s">
        <v>339</v>
      </c>
    </row>
    <row r="60" spans="1:11" s="114" customFormat="1" ht="36" customHeight="1" x14ac:dyDescent="0.25">
      <c r="A60" s="346" t="s">
        <v>412</v>
      </c>
      <c r="B60" s="346" t="s">
        <v>462</v>
      </c>
      <c r="C60" s="360" t="s">
        <v>164</v>
      </c>
      <c r="D60" s="360"/>
      <c r="E60" s="347"/>
      <c r="F60" s="353">
        <v>0</v>
      </c>
      <c r="G60" s="353">
        <v>0</v>
      </c>
      <c r="H60" s="303">
        <v>100000</v>
      </c>
      <c r="I60" s="345" t="s">
        <v>155</v>
      </c>
      <c r="J60" s="345" t="s">
        <v>463</v>
      </c>
      <c r="K60" s="354" t="s">
        <v>349</v>
      </c>
    </row>
    <row r="61" spans="1:11" s="114" customFormat="1" ht="36" customHeight="1" x14ac:dyDescent="0.25">
      <c r="A61" s="346" t="s">
        <v>413</v>
      </c>
      <c r="B61" s="346" t="s">
        <v>243</v>
      </c>
      <c r="C61" s="360" t="s">
        <v>164</v>
      </c>
      <c r="D61" s="360"/>
      <c r="E61" s="347"/>
      <c r="F61" s="353"/>
      <c r="G61" s="353"/>
      <c r="H61" s="303">
        <v>12000</v>
      </c>
      <c r="I61" s="345" t="s">
        <v>243</v>
      </c>
      <c r="J61" s="345" t="s">
        <v>420</v>
      </c>
      <c r="K61" s="354" t="s">
        <v>421</v>
      </c>
    </row>
    <row r="62" spans="1:11" s="114" customFormat="1" ht="36" customHeight="1" x14ac:dyDescent="0.25">
      <c r="A62" s="346" t="s">
        <v>414</v>
      </c>
      <c r="B62" s="346" t="s">
        <v>464</v>
      </c>
      <c r="C62" s="360" t="s">
        <v>164</v>
      </c>
      <c r="D62" s="360"/>
      <c r="E62" s="347"/>
      <c r="F62" s="353">
        <v>0</v>
      </c>
      <c r="G62" s="353">
        <v>0</v>
      </c>
      <c r="H62" s="303">
        <f>8070+20637.5+2000+15480</f>
        <v>46187.5</v>
      </c>
      <c r="I62" s="345" t="s">
        <v>465</v>
      </c>
      <c r="J62" s="345" t="s">
        <v>466</v>
      </c>
      <c r="K62" s="354" t="s">
        <v>456</v>
      </c>
    </row>
    <row r="63" spans="1:11" s="416" customFormat="1" ht="90" x14ac:dyDescent="0.25">
      <c r="A63" s="413" t="s">
        <v>565</v>
      </c>
      <c r="B63" s="413" t="s">
        <v>586</v>
      </c>
      <c r="C63" s="393" t="s">
        <v>164</v>
      </c>
      <c r="D63" s="393"/>
      <c r="E63" s="414"/>
      <c r="F63" s="410">
        <v>0</v>
      </c>
      <c r="G63" s="410">
        <v>0</v>
      </c>
      <c r="H63" s="303">
        <v>16000</v>
      </c>
      <c r="I63" s="397" t="s">
        <v>243</v>
      </c>
      <c r="J63" s="397" t="s">
        <v>590</v>
      </c>
      <c r="K63" s="411" t="s">
        <v>461</v>
      </c>
    </row>
    <row r="64" spans="1:11" s="416" customFormat="1" ht="54" x14ac:dyDescent="0.25">
      <c r="A64" s="413" t="s">
        <v>566</v>
      </c>
      <c r="B64" s="413" t="s">
        <v>587</v>
      </c>
      <c r="C64" s="393" t="s">
        <v>164</v>
      </c>
      <c r="D64" s="393"/>
      <c r="E64" s="414"/>
      <c r="F64" s="410">
        <v>0</v>
      </c>
      <c r="G64" s="410">
        <v>0</v>
      </c>
      <c r="H64" s="303">
        <f>16000+1600</f>
        <v>17600</v>
      </c>
      <c r="I64" s="397" t="s">
        <v>243</v>
      </c>
      <c r="J64" s="397" t="s">
        <v>591</v>
      </c>
      <c r="K64" s="411" t="s">
        <v>461</v>
      </c>
    </row>
    <row r="65" spans="1:11" s="416" customFormat="1" ht="54" x14ac:dyDescent="0.25">
      <c r="A65" s="413" t="s">
        <v>567</v>
      </c>
      <c r="B65" s="413" t="s">
        <v>588</v>
      </c>
      <c r="C65" s="393" t="s">
        <v>164</v>
      </c>
      <c r="D65" s="393"/>
      <c r="E65" s="414"/>
      <c r="F65" s="410">
        <v>0</v>
      </c>
      <c r="G65" s="410">
        <v>1</v>
      </c>
      <c r="H65" s="303">
        <v>18798</v>
      </c>
      <c r="I65" s="397" t="s">
        <v>243</v>
      </c>
      <c r="J65" s="397" t="s">
        <v>591</v>
      </c>
      <c r="K65" s="411" t="s">
        <v>461</v>
      </c>
    </row>
    <row r="66" spans="1:11" s="416" customFormat="1" x14ac:dyDescent="0.25">
      <c r="A66" s="413" t="s">
        <v>568</v>
      </c>
      <c r="B66" s="413" t="s">
        <v>589</v>
      </c>
      <c r="C66" s="393" t="s">
        <v>164</v>
      </c>
      <c r="D66" s="393"/>
      <c r="E66" s="414"/>
      <c r="F66" s="410">
        <v>0</v>
      </c>
      <c r="G66" s="410">
        <v>0</v>
      </c>
      <c r="H66" s="303">
        <v>15960</v>
      </c>
      <c r="I66" s="397" t="s">
        <v>592</v>
      </c>
      <c r="J66" s="397" t="s">
        <v>589</v>
      </c>
      <c r="K66" s="411" t="s">
        <v>593</v>
      </c>
    </row>
    <row r="67" spans="1:11" s="416" customFormat="1" ht="54" x14ac:dyDescent="0.25">
      <c r="A67" s="413" t="s">
        <v>702</v>
      </c>
      <c r="B67" s="413" t="s">
        <v>704</v>
      </c>
      <c r="C67" s="393" t="s">
        <v>164</v>
      </c>
      <c r="D67" s="393"/>
      <c r="E67" s="414"/>
      <c r="F67" s="410">
        <v>0.5</v>
      </c>
      <c r="G67" s="410">
        <v>1</v>
      </c>
      <c r="H67" s="303">
        <v>12000</v>
      </c>
      <c r="I67" s="397" t="s">
        <v>243</v>
      </c>
      <c r="J67" s="397" t="s">
        <v>705</v>
      </c>
      <c r="K67" s="411" t="s">
        <v>456</v>
      </c>
    </row>
    <row r="68" spans="1:11" s="416" customFormat="1" x14ac:dyDescent="0.25">
      <c r="A68" s="413"/>
      <c r="B68" s="413"/>
      <c r="C68" s="393"/>
      <c r="D68" s="393"/>
      <c r="E68" s="414"/>
      <c r="F68" s="410"/>
      <c r="G68" s="410"/>
      <c r="H68" s="303"/>
      <c r="I68" s="397"/>
      <c r="J68" s="397"/>
      <c r="K68" s="411"/>
    </row>
    <row r="69" spans="1:11" s="125" customFormat="1" ht="46.5" customHeight="1" x14ac:dyDescent="0.25">
      <c r="A69" s="53" t="s">
        <v>6</v>
      </c>
      <c r="B69" s="4"/>
      <c r="C69" s="4"/>
      <c r="D69" s="4"/>
      <c r="E69" s="5"/>
      <c r="F69" s="19"/>
      <c r="G69" s="20"/>
      <c r="H69" s="230">
        <f>SUM(H57:H67)</f>
        <v>337740.5</v>
      </c>
      <c r="I69" s="11"/>
      <c r="J69" s="11"/>
      <c r="K69" s="11"/>
    </row>
    <row r="70" spans="1:11" s="114" customFormat="1" x14ac:dyDescent="0.25">
      <c r="A70" s="29"/>
      <c r="B70" s="57"/>
      <c r="C70" s="58"/>
      <c r="D70" s="58"/>
      <c r="E70" s="59"/>
      <c r="F70" s="29"/>
      <c r="G70" s="59"/>
      <c r="H70" s="162"/>
      <c r="I70" s="60"/>
      <c r="J70" s="60"/>
      <c r="K70" s="29"/>
    </row>
    <row r="71" spans="1:11" s="114" customFormat="1" x14ac:dyDescent="0.25">
      <c r="A71" s="454"/>
      <c r="B71" s="455"/>
      <c r="C71" s="455"/>
      <c r="D71" s="455"/>
      <c r="E71" s="455"/>
      <c r="F71" s="455"/>
      <c r="G71" s="455"/>
      <c r="H71" s="455"/>
      <c r="I71" s="60"/>
      <c r="J71" s="60"/>
      <c r="K71" s="29"/>
    </row>
    <row r="72" spans="1:11" s="50" customFormat="1" ht="29.1" customHeight="1" x14ac:dyDescent="0.25">
      <c r="A72" s="452" t="s">
        <v>19</v>
      </c>
      <c r="B72" s="452"/>
      <c r="C72" s="452"/>
      <c r="D72" s="452"/>
      <c r="E72" s="452"/>
      <c r="F72" s="452"/>
      <c r="G72" s="452"/>
      <c r="H72" s="452"/>
      <c r="I72" s="452"/>
      <c r="J72" s="452"/>
      <c r="K72" s="452"/>
    </row>
    <row r="73" spans="1:11" s="50" customFormat="1" ht="49.5" customHeight="1" x14ac:dyDescent="0.25">
      <c r="A73" s="150" t="s">
        <v>0</v>
      </c>
      <c r="B73" s="150" t="s">
        <v>1</v>
      </c>
      <c r="C73" s="149" t="s">
        <v>12</v>
      </c>
      <c r="D73" s="149" t="s">
        <v>13</v>
      </c>
      <c r="E73" s="150" t="s">
        <v>2</v>
      </c>
      <c r="F73" s="151" t="s">
        <v>3</v>
      </c>
      <c r="G73" s="150" t="s">
        <v>4</v>
      </c>
      <c r="H73" s="155" t="s">
        <v>7</v>
      </c>
      <c r="I73" s="149" t="s">
        <v>14</v>
      </c>
      <c r="J73" s="149" t="s">
        <v>10</v>
      </c>
      <c r="K73" s="149" t="s">
        <v>9</v>
      </c>
    </row>
    <row r="74" spans="1:11" s="50" customFormat="1" ht="41.25" customHeight="1" x14ac:dyDescent="0.25">
      <c r="A74" s="31"/>
      <c r="B74" s="2"/>
      <c r="C74" s="32"/>
      <c r="D74" s="33"/>
      <c r="E74" s="34"/>
      <c r="F74" s="182"/>
      <c r="G74" s="182"/>
      <c r="H74" s="21">
        <v>0</v>
      </c>
      <c r="I74" s="7"/>
      <c r="J74" s="7"/>
      <c r="K74" s="19"/>
    </row>
    <row r="75" spans="1:11" s="50" customFormat="1" ht="41.25" customHeight="1" x14ac:dyDescent="0.25">
      <c r="A75" s="31"/>
      <c r="B75" s="2"/>
      <c r="C75" s="32"/>
      <c r="D75" s="33"/>
      <c r="E75" s="34"/>
      <c r="F75" s="182"/>
      <c r="G75" s="182"/>
      <c r="H75" s="21"/>
      <c r="I75" s="7"/>
      <c r="J75" s="7"/>
      <c r="K75" s="19"/>
    </row>
    <row r="76" spans="1:11" s="50" customFormat="1" ht="51.75" customHeight="1" x14ac:dyDescent="0.25">
      <c r="A76" s="53" t="s">
        <v>6</v>
      </c>
      <c r="B76" s="4"/>
      <c r="C76" s="4"/>
      <c r="D76" s="4"/>
      <c r="E76" s="5"/>
      <c r="F76" s="19"/>
      <c r="G76" s="20"/>
      <c r="H76" s="75">
        <f>SUM(H74:H75)</f>
        <v>0</v>
      </c>
      <c r="I76" s="11"/>
      <c r="J76" s="11"/>
      <c r="K76" s="11"/>
    </row>
    <row r="77" spans="1:11" s="114" customFormat="1" ht="36" customHeight="1" x14ac:dyDescent="0.25">
      <c r="A77" s="39"/>
      <c r="B77" s="50"/>
      <c r="C77" s="124"/>
      <c r="D77" s="39"/>
      <c r="E77" s="49"/>
      <c r="F77" s="83"/>
      <c r="G77" s="103"/>
      <c r="H77" s="160"/>
      <c r="I77" s="39"/>
      <c r="J77" s="39"/>
      <c r="K77" s="100"/>
    </row>
    <row r="78" spans="1:11" s="114" customFormat="1" ht="42.75" customHeight="1" x14ac:dyDescent="0.25">
      <c r="A78" s="55" t="s">
        <v>8</v>
      </c>
      <c r="B78" s="15"/>
      <c r="C78" s="191"/>
      <c r="D78" s="191"/>
      <c r="E78" s="16"/>
      <c r="F78" s="6"/>
      <c r="G78" s="6"/>
      <c r="H78" s="192">
        <f>+H76+H69+H53+H47+H41+H35</f>
        <v>6540105.1299999999</v>
      </c>
      <c r="I78" s="17"/>
      <c r="J78" s="7"/>
      <c r="K78" s="7"/>
    </row>
    <row r="79" spans="1:11" s="114" customFormat="1" x14ac:dyDescent="0.25">
      <c r="A79" s="77"/>
      <c r="B79" s="50"/>
      <c r="C79" s="124"/>
      <c r="D79" s="39"/>
      <c r="E79" s="49"/>
      <c r="F79" s="105"/>
      <c r="G79" s="105"/>
      <c r="H79" s="172"/>
      <c r="I79" s="39"/>
      <c r="J79" s="39"/>
      <c r="K79" s="77"/>
    </row>
    <row r="80" spans="1:11" s="114" customFormat="1" x14ac:dyDescent="0.25">
      <c r="A80" s="77"/>
      <c r="B80" s="50"/>
      <c r="C80" s="124"/>
      <c r="D80" s="39"/>
      <c r="E80" s="49"/>
      <c r="F80" s="105"/>
      <c r="G80" s="105"/>
      <c r="H80" s="172"/>
      <c r="I80" s="39"/>
      <c r="J80" s="39"/>
      <c r="K80" s="77"/>
    </row>
    <row r="81" spans="1:11" s="102" customFormat="1" x14ac:dyDescent="0.25">
      <c r="A81" s="77"/>
      <c r="B81" s="50"/>
      <c r="C81" s="124"/>
      <c r="D81" s="39"/>
      <c r="E81" s="49"/>
      <c r="F81" s="105"/>
      <c r="G81" s="105"/>
      <c r="H81" s="172"/>
      <c r="I81" s="39"/>
      <c r="J81" s="39"/>
      <c r="K81" s="77"/>
    </row>
    <row r="82" spans="1:11" s="114" customFormat="1" x14ac:dyDescent="0.25">
      <c r="A82" s="100"/>
      <c r="B82" s="102"/>
      <c r="C82" s="465"/>
      <c r="D82" s="465"/>
      <c r="E82" s="127"/>
      <c r="F82" s="107"/>
      <c r="G82" s="107"/>
      <c r="H82" s="173"/>
      <c r="I82" s="110"/>
      <c r="J82" s="100"/>
      <c r="K82" s="77"/>
    </row>
    <row r="83" spans="1:11" s="114" customFormat="1" x14ac:dyDescent="0.25">
      <c r="A83" s="77"/>
      <c r="B83" s="50"/>
      <c r="C83" s="469"/>
      <c r="D83" s="469"/>
      <c r="E83" s="49"/>
      <c r="F83" s="105"/>
      <c r="G83" s="105"/>
      <c r="H83" s="172"/>
      <c r="I83" s="39"/>
      <c r="J83" s="39"/>
      <c r="K83" s="77"/>
    </row>
    <row r="84" spans="1:11" s="114" customFormat="1" x14ac:dyDescent="0.25">
      <c r="A84" s="77"/>
      <c r="B84" s="50"/>
      <c r="C84" s="469"/>
      <c r="D84" s="469"/>
      <c r="E84" s="49"/>
      <c r="F84" s="105"/>
      <c r="G84" s="105"/>
      <c r="H84" s="172"/>
      <c r="I84" s="39"/>
      <c r="J84" s="39"/>
      <c r="K84" s="77"/>
    </row>
    <row r="85" spans="1:11" s="114" customFormat="1" x14ac:dyDescent="0.25">
      <c r="A85" s="77"/>
      <c r="B85" s="102"/>
      <c r="C85" s="465"/>
      <c r="D85" s="465"/>
      <c r="E85" s="101"/>
      <c r="F85" s="107"/>
      <c r="G85" s="107"/>
      <c r="H85" s="167"/>
      <c r="I85" s="110"/>
      <c r="J85" s="102"/>
      <c r="K85" s="100"/>
    </row>
    <row r="86" spans="1:11" s="114" customFormat="1" x14ac:dyDescent="0.25">
      <c r="A86" s="77"/>
      <c r="B86" s="109"/>
      <c r="C86" s="465"/>
      <c r="D86" s="465"/>
      <c r="E86" s="127"/>
      <c r="F86" s="107"/>
      <c r="G86" s="107"/>
      <c r="H86" s="173"/>
      <c r="I86" s="110"/>
      <c r="J86" s="102"/>
      <c r="K86" s="100"/>
    </row>
    <row r="87" spans="1:11" s="114" customFormat="1" x14ac:dyDescent="0.25">
      <c r="A87" s="77"/>
      <c r="B87" s="109"/>
      <c r="C87" s="465"/>
      <c r="D87" s="465"/>
      <c r="E87" s="127"/>
      <c r="F87" s="107"/>
      <c r="G87" s="107"/>
      <c r="H87" s="173"/>
      <c r="I87" s="109"/>
      <c r="J87" s="102"/>
      <c r="K87" s="100"/>
    </row>
    <row r="88" spans="1:11" s="114" customFormat="1" x14ac:dyDescent="0.25">
      <c r="A88" s="77"/>
      <c r="B88" s="50"/>
      <c r="C88" s="124"/>
      <c r="D88" s="39"/>
      <c r="E88" s="49"/>
      <c r="F88" s="105"/>
      <c r="G88" s="105"/>
      <c r="H88" s="172"/>
      <c r="I88" s="39"/>
      <c r="J88" s="39"/>
      <c r="K88" s="77"/>
    </row>
    <row r="89" spans="1:11" s="114" customFormat="1" x14ac:dyDescent="0.25">
      <c r="A89" s="77"/>
      <c r="B89" s="109"/>
      <c r="C89" s="128"/>
      <c r="D89" s="128"/>
      <c r="E89" s="102"/>
      <c r="F89" s="107"/>
      <c r="G89" s="107"/>
      <c r="H89" s="173"/>
      <c r="I89" s="110"/>
      <c r="J89" s="100"/>
      <c r="K89" s="100"/>
    </row>
    <row r="90" spans="1:11" s="114" customFormat="1" x14ac:dyDescent="0.25">
      <c r="A90" s="77"/>
      <c r="B90" s="102"/>
      <c r="C90" s="123"/>
      <c r="D90" s="100"/>
      <c r="E90" s="101"/>
      <c r="F90" s="107"/>
      <c r="G90" s="107"/>
      <c r="H90" s="173"/>
      <c r="I90" s="100"/>
      <c r="J90" s="100"/>
      <c r="K90" s="100"/>
    </row>
    <row r="91" spans="1:11" s="114" customFormat="1" x14ac:dyDescent="0.25">
      <c r="A91" s="77"/>
      <c r="B91" s="108"/>
      <c r="C91" s="465"/>
      <c r="D91" s="465"/>
      <c r="E91" s="120"/>
      <c r="F91" s="105"/>
      <c r="G91" s="105"/>
      <c r="H91" s="172"/>
      <c r="I91" s="126"/>
      <c r="J91" s="102"/>
      <c r="K91" s="100"/>
    </row>
    <row r="92" spans="1:11" s="114" customFormat="1" x14ac:dyDescent="0.25">
      <c r="A92" s="77"/>
      <c r="B92" s="108"/>
      <c r="C92" s="464"/>
      <c r="D92" s="464"/>
      <c r="E92" s="120"/>
      <c r="F92" s="105"/>
      <c r="G92" s="105"/>
      <c r="H92" s="172"/>
      <c r="I92" s="126"/>
      <c r="K92" s="77"/>
    </row>
    <row r="93" spans="1:11" s="114" customFormat="1" x14ac:dyDescent="0.25">
      <c r="A93" s="77"/>
      <c r="B93" s="108"/>
      <c r="C93" s="464"/>
      <c r="D93" s="464"/>
      <c r="E93" s="120"/>
      <c r="F93" s="105"/>
      <c r="G93" s="105"/>
      <c r="H93" s="172"/>
      <c r="I93" s="126"/>
      <c r="K93" s="77"/>
    </row>
    <row r="94" spans="1:11" s="114" customFormat="1" x14ac:dyDescent="0.25">
      <c r="A94" s="77"/>
      <c r="B94" s="109"/>
      <c r="C94" s="465"/>
      <c r="D94" s="465"/>
      <c r="E94" s="127"/>
      <c r="F94" s="107"/>
      <c r="G94" s="107"/>
      <c r="H94" s="173"/>
      <c r="I94" s="110"/>
      <c r="J94" s="102"/>
      <c r="K94" s="100"/>
    </row>
    <row r="95" spans="1:11" s="114" customFormat="1" x14ac:dyDescent="0.25">
      <c r="A95" s="77"/>
      <c r="B95" s="109"/>
      <c r="C95" s="465"/>
      <c r="D95" s="465"/>
      <c r="E95" s="127"/>
      <c r="F95" s="107"/>
      <c r="G95" s="107"/>
      <c r="H95" s="173"/>
      <c r="I95" s="110"/>
      <c r="J95" s="102"/>
      <c r="K95" s="100"/>
    </row>
    <row r="96" spans="1:11" s="114" customFormat="1" x14ac:dyDescent="0.25">
      <c r="A96" s="77"/>
      <c r="B96" s="102"/>
      <c r="C96" s="465"/>
      <c r="D96" s="465"/>
      <c r="E96" s="101"/>
      <c r="F96" s="107"/>
      <c r="G96" s="107"/>
      <c r="H96" s="173"/>
      <c r="I96" s="100"/>
      <c r="J96" s="100"/>
      <c r="K96" s="100"/>
    </row>
    <row r="97" spans="1:11" s="114" customFormat="1" x14ac:dyDescent="0.25">
      <c r="A97" s="100"/>
      <c r="B97" s="102"/>
      <c r="C97" s="465"/>
      <c r="D97" s="465"/>
      <c r="E97" s="101"/>
      <c r="F97" s="107"/>
      <c r="G97" s="107"/>
      <c r="H97" s="173"/>
      <c r="I97" s="100"/>
      <c r="J97" s="100"/>
      <c r="K97" s="100"/>
    </row>
    <row r="98" spans="1:11" s="114" customFormat="1" x14ac:dyDescent="0.25">
      <c r="A98" s="100"/>
      <c r="B98" s="102"/>
      <c r="C98" s="465"/>
      <c r="D98" s="465"/>
      <c r="E98" s="101"/>
      <c r="F98" s="107"/>
      <c r="G98" s="107"/>
      <c r="H98" s="173"/>
      <c r="I98" s="100"/>
      <c r="J98" s="100"/>
      <c r="K98" s="100"/>
    </row>
    <row r="99" spans="1:11" s="102" customFormat="1" ht="50.25" customHeight="1" x14ac:dyDescent="0.25">
      <c r="A99" s="100"/>
      <c r="C99" s="465"/>
      <c r="D99" s="465"/>
      <c r="E99" s="101"/>
      <c r="F99" s="107"/>
      <c r="G99" s="107"/>
      <c r="H99" s="173"/>
      <c r="I99" s="100"/>
      <c r="J99" s="100"/>
      <c r="K99" s="100"/>
    </row>
    <row r="100" spans="1:11" s="102" customFormat="1" ht="38.25" customHeight="1" x14ac:dyDescent="0.25">
      <c r="A100" s="98"/>
      <c r="B100" s="98"/>
      <c r="C100" s="465"/>
      <c r="D100" s="465"/>
      <c r="E100" s="101"/>
      <c r="F100" s="107"/>
      <c r="G100" s="107"/>
      <c r="H100" s="167"/>
      <c r="I100" s="98"/>
      <c r="J100" s="100"/>
      <c r="K100" s="100"/>
    </row>
    <row r="101" spans="1:11" s="102" customFormat="1" ht="38.25" customHeight="1" x14ac:dyDescent="0.25">
      <c r="A101" s="98"/>
      <c r="B101" s="98"/>
      <c r="C101" s="465"/>
      <c r="D101" s="465"/>
      <c r="E101" s="101"/>
      <c r="F101" s="107"/>
      <c r="G101" s="107"/>
      <c r="H101" s="167"/>
      <c r="I101" s="100"/>
      <c r="J101" s="100"/>
      <c r="K101" s="100"/>
    </row>
    <row r="102" spans="1:11" s="102" customFormat="1" ht="38.25" customHeight="1" x14ac:dyDescent="0.25">
      <c r="A102" s="98"/>
      <c r="B102" s="50"/>
      <c r="C102" s="124"/>
      <c r="D102" s="39"/>
      <c r="E102" s="49"/>
      <c r="F102" s="105"/>
      <c r="G102" s="105"/>
      <c r="H102" s="172"/>
      <c r="I102" s="39"/>
      <c r="J102" s="39"/>
      <c r="K102" s="100"/>
    </row>
    <row r="103" spans="1:11" s="102" customFormat="1" ht="38.25" customHeight="1" x14ac:dyDescent="0.25">
      <c r="A103" s="98"/>
      <c r="B103" s="100"/>
      <c r="C103" s="471"/>
      <c r="D103" s="472"/>
      <c r="E103" s="104"/>
      <c r="F103" s="105"/>
      <c r="G103" s="105"/>
      <c r="H103" s="172"/>
      <c r="I103" s="100"/>
      <c r="J103" s="100"/>
      <c r="K103" s="100"/>
    </row>
    <row r="104" spans="1:11" s="102" customFormat="1" ht="38.25" customHeight="1" x14ac:dyDescent="0.25">
      <c r="A104" s="98"/>
      <c r="C104" s="471"/>
      <c r="D104" s="472"/>
      <c r="E104" s="104"/>
      <c r="F104" s="105"/>
      <c r="G104" s="105"/>
      <c r="H104" s="172"/>
      <c r="I104" s="100"/>
      <c r="J104" s="100"/>
      <c r="K104" s="100"/>
    </row>
    <row r="105" spans="1:11" s="102" customFormat="1" ht="38.25" customHeight="1" x14ac:dyDescent="0.25">
      <c r="A105" s="98"/>
      <c r="B105" s="100"/>
      <c r="C105" s="471"/>
      <c r="D105" s="472"/>
      <c r="E105" s="104"/>
      <c r="F105" s="105"/>
      <c r="G105" s="105"/>
      <c r="H105" s="172"/>
      <c r="I105" s="100"/>
      <c r="J105" s="100"/>
      <c r="K105" s="100"/>
    </row>
    <row r="106" spans="1:11" s="102" customFormat="1" ht="38.25" customHeight="1" x14ac:dyDescent="0.25">
      <c r="A106" s="98"/>
      <c r="C106" s="471"/>
      <c r="D106" s="473"/>
      <c r="E106" s="104"/>
      <c r="F106" s="105"/>
      <c r="G106" s="105"/>
      <c r="H106" s="172"/>
      <c r="I106" s="100"/>
      <c r="J106" s="100"/>
      <c r="K106" s="100"/>
    </row>
    <row r="107" spans="1:11" s="102" customFormat="1" ht="38.25" customHeight="1" x14ac:dyDescent="0.25">
      <c r="A107" s="98"/>
      <c r="C107" s="471"/>
      <c r="D107" s="472"/>
      <c r="E107" s="101"/>
      <c r="F107" s="107"/>
      <c r="G107" s="107"/>
      <c r="H107" s="173"/>
      <c r="I107" s="100"/>
      <c r="J107" s="100"/>
      <c r="K107" s="100"/>
    </row>
    <row r="108" spans="1:11" s="125" customFormat="1" ht="38.25" customHeight="1" x14ac:dyDescent="0.25">
      <c r="A108" s="112"/>
      <c r="B108" s="114"/>
      <c r="C108" s="466"/>
      <c r="D108" s="467"/>
      <c r="E108" s="104"/>
      <c r="F108" s="105"/>
      <c r="G108" s="105"/>
      <c r="H108" s="172"/>
      <c r="I108" s="77"/>
      <c r="J108" s="100"/>
      <c r="K108" s="77"/>
    </row>
    <row r="109" spans="1:11" s="125" customFormat="1" ht="38.25" customHeight="1" x14ac:dyDescent="0.25">
      <c r="A109" s="98"/>
      <c r="B109" s="102"/>
      <c r="C109" s="471"/>
      <c r="D109" s="472"/>
      <c r="E109" s="101"/>
      <c r="F109" s="107"/>
      <c r="G109" s="107"/>
      <c r="H109" s="173"/>
      <c r="I109" s="100"/>
      <c r="J109" s="100"/>
      <c r="K109" s="100"/>
    </row>
    <row r="110" spans="1:11" s="114" customFormat="1" ht="38.25" customHeight="1" x14ac:dyDescent="0.25">
      <c r="A110" s="98"/>
      <c r="B110" s="102"/>
      <c r="C110" s="124"/>
      <c r="D110" s="39"/>
      <c r="E110" s="49"/>
      <c r="F110" s="107"/>
      <c r="G110" s="107"/>
      <c r="H110" s="173"/>
      <c r="I110" s="110"/>
      <c r="J110" s="100"/>
      <c r="K110" s="77"/>
    </row>
    <row r="111" spans="1:11" s="114" customFormat="1" ht="38.25" customHeight="1" x14ac:dyDescent="0.25">
      <c r="A111" s="112"/>
      <c r="C111" s="466"/>
      <c r="D111" s="467"/>
      <c r="E111" s="104"/>
      <c r="F111" s="105"/>
      <c r="G111" s="105"/>
      <c r="H111" s="172"/>
      <c r="I111" s="77"/>
      <c r="J111" s="77"/>
      <c r="K111" s="77"/>
    </row>
    <row r="112" spans="1:11" s="114" customFormat="1" ht="38.25" customHeight="1" x14ac:dyDescent="0.25">
      <c r="A112" s="112"/>
      <c r="C112" s="466"/>
      <c r="D112" s="467"/>
      <c r="E112" s="104"/>
      <c r="F112" s="105"/>
      <c r="G112" s="105"/>
      <c r="H112" s="172"/>
      <c r="I112" s="77"/>
      <c r="J112" s="77"/>
      <c r="K112" s="77"/>
    </row>
    <row r="113" spans="1:11" s="46" customFormat="1" ht="29.1" customHeight="1" x14ac:dyDescent="0.25">
      <c r="A113" s="112"/>
      <c r="B113" s="114"/>
      <c r="C113" s="466"/>
      <c r="D113" s="468"/>
      <c r="E113" s="104"/>
      <c r="F113" s="105"/>
      <c r="G113" s="105"/>
      <c r="H113" s="172"/>
      <c r="I113" s="77"/>
      <c r="J113" s="77"/>
      <c r="K113" s="77"/>
    </row>
    <row r="114" spans="1:11" s="46" customFormat="1" ht="28.5" customHeight="1" x14ac:dyDescent="0.25">
      <c r="B114" s="93"/>
      <c r="C114" s="93"/>
      <c r="D114" s="93"/>
      <c r="E114" s="92"/>
      <c r="G114" s="92"/>
      <c r="H114" s="174"/>
      <c r="I114" s="39"/>
      <c r="J114" s="39"/>
      <c r="K114" s="39"/>
    </row>
    <row r="115" spans="1:11" s="46" customFormat="1" ht="29.1" customHeight="1" x14ac:dyDescent="0.25">
      <c r="A115" s="456"/>
      <c r="B115" s="456"/>
      <c r="C115" s="456"/>
      <c r="D115" s="456"/>
      <c r="E115" s="456"/>
      <c r="F115" s="456"/>
      <c r="G115" s="456"/>
      <c r="H115" s="456"/>
      <c r="I115" s="456"/>
      <c r="J115" s="456"/>
      <c r="K115" s="456"/>
    </row>
    <row r="116" spans="1:11" s="46" customFormat="1" ht="51" customHeight="1" x14ac:dyDescent="0.25">
      <c r="A116" s="456"/>
      <c r="B116" s="456"/>
      <c r="C116" s="456"/>
      <c r="D116" s="456"/>
      <c r="E116" s="456"/>
      <c r="F116" s="456"/>
      <c r="G116" s="456"/>
      <c r="H116" s="456"/>
      <c r="I116" s="456"/>
      <c r="J116" s="456"/>
      <c r="K116" s="456"/>
    </row>
    <row r="117" spans="1:11" s="50" customFormat="1" x14ac:dyDescent="0.25">
      <c r="A117" s="92"/>
      <c r="B117" s="92"/>
      <c r="C117" s="93"/>
      <c r="D117" s="93"/>
      <c r="E117" s="92"/>
      <c r="F117" s="83"/>
      <c r="G117" s="103"/>
      <c r="H117" s="164"/>
      <c r="I117" s="93"/>
      <c r="J117" s="93"/>
      <c r="K117" s="93"/>
    </row>
    <row r="118" spans="1:11" s="50" customFormat="1" x14ac:dyDescent="0.25">
      <c r="A118" s="112"/>
      <c r="B118" s="77"/>
      <c r="C118" s="464"/>
      <c r="D118" s="464"/>
      <c r="E118" s="111"/>
      <c r="F118" s="89"/>
      <c r="G118" s="111"/>
      <c r="H118" s="160"/>
      <c r="I118" s="77"/>
      <c r="J118" s="77"/>
      <c r="K118" s="77"/>
    </row>
    <row r="119" spans="1:11" s="50" customFormat="1" ht="29.1" customHeight="1" x14ac:dyDescent="0.25">
      <c r="A119" s="46"/>
      <c r="B119" s="39"/>
      <c r="C119" s="39"/>
      <c r="D119" s="39"/>
      <c r="E119" s="49"/>
      <c r="G119" s="49"/>
      <c r="H119" s="164"/>
      <c r="I119" s="39"/>
      <c r="J119" s="39"/>
      <c r="K119" s="39"/>
    </row>
    <row r="120" spans="1:11" s="50" customFormat="1" ht="29.1" customHeight="1" x14ac:dyDescent="0.25">
      <c r="A120" s="46"/>
      <c r="B120" s="39"/>
      <c r="C120" s="39"/>
      <c r="D120" s="39"/>
      <c r="E120" s="49"/>
      <c r="G120" s="49"/>
      <c r="H120" s="160"/>
      <c r="I120" s="39"/>
      <c r="J120" s="39"/>
      <c r="K120" s="39"/>
    </row>
    <row r="121" spans="1:11" s="46" customFormat="1" ht="29.1" customHeight="1" x14ac:dyDescent="0.25">
      <c r="A121" s="456"/>
      <c r="B121" s="456"/>
      <c r="C121" s="456"/>
      <c r="D121" s="456"/>
      <c r="E121" s="456"/>
      <c r="F121" s="456"/>
      <c r="G121" s="456"/>
      <c r="H121" s="456"/>
      <c r="I121" s="456"/>
      <c r="J121" s="456"/>
      <c r="K121" s="456"/>
    </row>
    <row r="122" spans="1:11" s="50" customFormat="1" ht="52.5" customHeight="1" x14ac:dyDescent="0.25">
      <c r="A122" s="456"/>
      <c r="B122" s="456"/>
      <c r="C122" s="456"/>
      <c r="D122" s="456"/>
      <c r="E122" s="456"/>
      <c r="F122" s="456"/>
      <c r="G122" s="456"/>
      <c r="H122" s="456"/>
      <c r="I122" s="456"/>
      <c r="J122" s="456"/>
      <c r="K122" s="456"/>
    </row>
    <row r="123" spans="1:11" s="114" customFormat="1" x14ac:dyDescent="0.25">
      <c r="A123" s="92"/>
      <c r="B123" s="92"/>
      <c r="C123" s="93"/>
      <c r="D123" s="93"/>
      <c r="E123" s="92"/>
      <c r="F123" s="89"/>
      <c r="G123" s="111"/>
      <c r="H123" s="164"/>
      <c r="I123" s="93"/>
      <c r="J123" s="93"/>
      <c r="K123" s="93"/>
    </row>
    <row r="124" spans="1:11" s="114" customFormat="1" x14ac:dyDescent="0.25">
      <c r="A124" s="97"/>
      <c r="B124" s="113"/>
      <c r="C124" s="129"/>
      <c r="D124" s="130"/>
      <c r="E124" s="49"/>
      <c r="F124" s="50"/>
      <c r="G124" s="99"/>
      <c r="H124" s="160"/>
      <c r="I124" s="100"/>
      <c r="J124" s="102"/>
      <c r="K124" s="100"/>
    </row>
    <row r="125" spans="1:11" s="114" customFormat="1" x14ac:dyDescent="0.25">
      <c r="A125" s="106"/>
      <c r="B125" s="98"/>
      <c r="C125" s="465"/>
      <c r="D125" s="465"/>
      <c r="E125" s="101"/>
      <c r="F125" s="107"/>
      <c r="G125" s="107"/>
      <c r="H125" s="175"/>
      <c r="I125" s="102"/>
      <c r="J125" s="100"/>
      <c r="K125" s="100"/>
    </row>
    <row r="126" spans="1:11" s="102" customFormat="1" x14ac:dyDescent="0.25">
      <c r="A126" s="98"/>
      <c r="B126" s="98"/>
      <c r="C126" s="465"/>
      <c r="D126" s="465"/>
      <c r="E126" s="101"/>
      <c r="F126" s="107"/>
      <c r="G126" s="107"/>
      <c r="H126" s="175"/>
      <c r="I126" s="98"/>
      <c r="J126" s="100"/>
      <c r="K126" s="100"/>
    </row>
    <row r="127" spans="1:11" s="102" customFormat="1" x14ac:dyDescent="0.25">
      <c r="A127" s="98"/>
      <c r="B127" s="98"/>
      <c r="C127" s="101"/>
      <c r="D127" s="465"/>
      <c r="E127" s="465"/>
      <c r="F127" s="107"/>
      <c r="G127" s="107"/>
      <c r="H127" s="175"/>
      <c r="I127" s="98"/>
      <c r="J127" s="100"/>
      <c r="K127" s="100"/>
    </row>
    <row r="128" spans="1:11" s="102" customFormat="1" x14ac:dyDescent="0.25">
      <c r="A128" s="98"/>
      <c r="B128" s="98"/>
      <c r="C128" s="465"/>
      <c r="D128" s="465"/>
      <c r="E128" s="101"/>
      <c r="F128" s="107"/>
      <c r="G128" s="107"/>
      <c r="H128" s="175"/>
      <c r="I128" s="98"/>
      <c r="J128" s="100"/>
      <c r="K128" s="100"/>
    </row>
    <row r="129" spans="1:11" s="102" customFormat="1" x14ac:dyDescent="0.25">
      <c r="A129" s="112"/>
      <c r="B129" s="112"/>
      <c r="C129" s="464"/>
      <c r="D129" s="464"/>
      <c r="E129" s="104"/>
      <c r="F129" s="105"/>
      <c r="G129" s="105"/>
      <c r="H129" s="176"/>
      <c r="I129" s="112"/>
      <c r="J129" s="77"/>
      <c r="K129" s="77"/>
    </row>
    <row r="130" spans="1:11" s="102" customFormat="1" x14ac:dyDescent="0.25">
      <c r="A130" s="112"/>
      <c r="B130" s="98"/>
      <c r="C130" s="465"/>
      <c r="D130" s="465"/>
      <c r="E130" s="101"/>
      <c r="F130" s="107"/>
      <c r="G130" s="107"/>
      <c r="H130" s="175"/>
      <c r="I130" s="98"/>
      <c r="J130" s="100"/>
      <c r="K130" s="100"/>
    </row>
    <row r="131" spans="1:11" s="102" customFormat="1" x14ac:dyDescent="0.25">
      <c r="A131" s="112"/>
      <c r="B131" s="112"/>
      <c r="C131" s="464"/>
      <c r="D131" s="464"/>
      <c r="E131" s="104"/>
      <c r="F131" s="105"/>
      <c r="G131" s="105"/>
      <c r="H131" s="176"/>
      <c r="I131" s="112"/>
      <c r="J131" s="77"/>
      <c r="K131" s="77"/>
    </row>
    <row r="132" spans="1:11" s="50" customFormat="1" ht="42.75" customHeight="1" x14ac:dyDescent="0.25">
      <c r="A132" s="112"/>
      <c r="B132" s="112"/>
      <c r="C132" s="104"/>
      <c r="D132" s="104"/>
      <c r="E132" s="104"/>
      <c r="F132" s="105"/>
      <c r="G132" s="105"/>
      <c r="H132" s="176"/>
      <c r="I132" s="112"/>
      <c r="J132" s="77"/>
      <c r="K132" s="77"/>
    </row>
    <row r="133" spans="1:11" s="50" customFormat="1" ht="29.1" customHeight="1" x14ac:dyDescent="0.25">
      <c r="A133" s="115"/>
      <c r="B133" s="113"/>
      <c r="C133" s="113"/>
      <c r="D133" s="113"/>
      <c r="E133" s="49"/>
      <c r="G133" s="99"/>
      <c r="H133" s="164"/>
      <c r="I133" s="39"/>
      <c r="J133" s="39"/>
      <c r="K133" s="39"/>
    </row>
    <row r="134" spans="1:11" s="50" customFormat="1" ht="29.1" customHeight="1" x14ac:dyDescent="0.25">
      <c r="A134" s="457"/>
      <c r="B134" s="457"/>
      <c r="C134" s="457"/>
      <c r="D134" s="457"/>
      <c r="E134" s="457"/>
      <c r="F134" s="457"/>
      <c r="G134" s="457"/>
      <c r="H134" s="457"/>
      <c r="I134" s="457"/>
      <c r="J134" s="457"/>
      <c r="K134" s="457"/>
    </row>
    <row r="135" spans="1:11" s="50" customFormat="1" ht="49.5" customHeight="1" x14ac:dyDescent="0.25">
      <c r="A135" s="457"/>
      <c r="B135" s="457"/>
      <c r="C135" s="457"/>
      <c r="D135" s="457"/>
      <c r="E135" s="457"/>
      <c r="F135" s="457"/>
      <c r="G135" s="457"/>
      <c r="H135" s="457"/>
      <c r="I135" s="457"/>
      <c r="J135" s="457"/>
      <c r="K135" s="457"/>
    </row>
    <row r="136" spans="1:11" s="102" customFormat="1" x14ac:dyDescent="0.25">
      <c r="A136" s="92"/>
      <c r="B136" s="92"/>
      <c r="C136" s="93"/>
      <c r="D136" s="93"/>
      <c r="E136" s="92"/>
      <c r="F136" s="89"/>
      <c r="G136" s="111"/>
      <c r="H136" s="164"/>
      <c r="I136" s="93"/>
      <c r="J136" s="93"/>
      <c r="K136" s="93"/>
    </row>
    <row r="137" spans="1:11" s="102" customFormat="1" x14ac:dyDescent="0.25">
      <c r="A137" s="113"/>
      <c r="B137" s="113"/>
      <c r="C137" s="465"/>
      <c r="D137" s="465"/>
      <c r="E137" s="49"/>
      <c r="F137" s="105"/>
      <c r="G137" s="105"/>
      <c r="H137" s="176"/>
      <c r="I137" s="113"/>
      <c r="K137" s="100"/>
    </row>
    <row r="138" spans="1:11" s="102" customFormat="1" x14ac:dyDescent="0.25">
      <c r="A138" s="98"/>
      <c r="B138" s="98"/>
      <c r="C138" s="465"/>
      <c r="D138" s="465"/>
      <c r="E138" s="101"/>
      <c r="F138" s="107"/>
      <c r="G138" s="107"/>
      <c r="H138" s="175"/>
      <c r="I138" s="98"/>
      <c r="K138" s="100"/>
    </row>
    <row r="139" spans="1:11" s="102" customFormat="1" x14ac:dyDescent="0.25">
      <c r="A139" s="98"/>
      <c r="B139" s="98"/>
      <c r="C139" s="465"/>
      <c r="D139" s="465"/>
      <c r="E139" s="101"/>
      <c r="F139" s="107"/>
      <c r="G139" s="107"/>
      <c r="H139" s="175"/>
      <c r="I139" s="98"/>
      <c r="K139" s="100"/>
    </row>
    <row r="140" spans="1:11" s="102" customFormat="1" x14ac:dyDescent="0.25">
      <c r="A140" s="112"/>
      <c r="B140" s="98"/>
      <c r="C140" s="465"/>
      <c r="D140" s="465"/>
      <c r="E140" s="101"/>
      <c r="F140" s="107"/>
      <c r="G140" s="107"/>
      <c r="H140" s="175"/>
      <c r="I140" s="98"/>
      <c r="J140" s="100"/>
      <c r="K140" s="100"/>
    </row>
    <row r="141" spans="1:11" s="102" customFormat="1" x14ac:dyDescent="0.25">
      <c r="A141" s="112"/>
      <c r="B141" s="112"/>
      <c r="C141" s="464"/>
      <c r="D141" s="464"/>
      <c r="E141" s="104"/>
      <c r="F141" s="105"/>
      <c r="G141" s="105"/>
      <c r="H141" s="176"/>
      <c r="I141" s="112"/>
      <c r="J141" s="77"/>
      <c r="K141" s="77"/>
    </row>
    <row r="142" spans="1:11" s="102" customFormat="1" x14ac:dyDescent="0.25">
      <c r="A142" s="112"/>
      <c r="B142" s="112"/>
      <c r="C142" s="464"/>
      <c r="D142" s="464"/>
      <c r="E142" s="104"/>
      <c r="F142" s="105"/>
      <c r="G142" s="105"/>
      <c r="H142" s="176"/>
      <c r="I142" s="112"/>
      <c r="J142" s="77"/>
      <c r="K142" s="77"/>
    </row>
    <row r="143" spans="1:11" s="50" customFormat="1" ht="29.1" customHeight="1" x14ac:dyDescent="0.25">
      <c r="A143" s="112"/>
      <c r="B143" s="112"/>
      <c r="C143" s="464"/>
      <c r="D143" s="464"/>
      <c r="E143" s="104"/>
      <c r="F143" s="105"/>
      <c r="G143" s="105"/>
      <c r="H143" s="176"/>
      <c r="I143" s="112"/>
      <c r="J143" s="77"/>
      <c r="K143" s="77"/>
    </row>
    <row r="144" spans="1:11" s="50" customFormat="1" ht="29.1" customHeight="1" x14ac:dyDescent="0.25">
      <c r="A144" s="115"/>
      <c r="B144" s="113"/>
      <c r="C144" s="113"/>
      <c r="D144" s="113"/>
      <c r="E144" s="49"/>
      <c r="G144" s="49"/>
      <c r="H144" s="164"/>
      <c r="I144" s="39"/>
      <c r="J144" s="39"/>
    </row>
    <row r="145" spans="1:11" s="50" customFormat="1" ht="29.1" customHeight="1" x14ac:dyDescent="0.25">
      <c r="A145" s="457"/>
      <c r="B145" s="457"/>
      <c r="C145" s="457"/>
      <c r="D145" s="457"/>
      <c r="E145" s="457"/>
      <c r="F145" s="457"/>
      <c r="G145" s="457"/>
      <c r="H145" s="457"/>
      <c r="I145" s="457"/>
      <c r="J145" s="457"/>
      <c r="K145" s="457"/>
    </row>
    <row r="146" spans="1:11" s="50" customFormat="1" ht="49.5" customHeight="1" x14ac:dyDescent="0.25">
      <c r="A146" s="456"/>
      <c r="B146" s="456"/>
      <c r="C146" s="456"/>
      <c r="D146" s="456"/>
      <c r="E146" s="456"/>
      <c r="F146" s="456"/>
      <c r="G146" s="456"/>
      <c r="H146" s="456"/>
      <c r="I146" s="456"/>
      <c r="J146" s="456"/>
      <c r="K146" s="456"/>
    </row>
    <row r="147" spans="1:11" s="50" customFormat="1" x14ac:dyDescent="0.25">
      <c r="A147" s="92"/>
      <c r="B147" s="92"/>
      <c r="C147" s="93"/>
      <c r="D147" s="93"/>
      <c r="E147" s="92"/>
      <c r="F147" s="89"/>
      <c r="G147" s="111"/>
      <c r="H147" s="164"/>
      <c r="I147" s="93"/>
      <c r="J147" s="93"/>
      <c r="K147" s="93"/>
    </row>
    <row r="148" spans="1:11" s="50" customFormat="1" x14ac:dyDescent="0.25">
      <c r="A148" s="113"/>
      <c r="B148" s="100"/>
      <c r="C148" s="470"/>
      <c r="D148" s="470"/>
      <c r="E148" s="101"/>
      <c r="F148" s="107"/>
      <c r="G148" s="107"/>
      <c r="H148" s="160"/>
      <c r="I148" s="98"/>
      <c r="J148" s="100"/>
      <c r="K148" s="100"/>
    </row>
    <row r="149" spans="1:11" s="50" customFormat="1" x14ac:dyDescent="0.25">
      <c r="A149" s="113"/>
      <c r="B149" s="100"/>
      <c r="C149" s="470"/>
      <c r="D149" s="470"/>
      <c r="E149" s="101"/>
      <c r="F149" s="107"/>
      <c r="G149" s="107"/>
      <c r="H149" s="167"/>
      <c r="I149" s="98"/>
      <c r="J149" s="100"/>
      <c r="K149" s="100"/>
    </row>
    <row r="150" spans="1:11" s="50" customFormat="1" x14ac:dyDescent="0.25">
      <c r="A150" s="113"/>
      <c r="B150" s="100"/>
      <c r="C150" s="470"/>
      <c r="D150" s="470"/>
      <c r="E150" s="101"/>
      <c r="F150" s="107"/>
      <c r="G150" s="107"/>
      <c r="H150" s="160"/>
      <c r="I150" s="98"/>
      <c r="J150" s="100"/>
      <c r="K150" s="100"/>
    </row>
    <row r="151" spans="1:11" s="50" customFormat="1" x14ac:dyDescent="0.25">
      <c r="A151" s="113"/>
      <c r="B151" s="100"/>
      <c r="C151" s="470"/>
      <c r="D151" s="470"/>
      <c r="E151" s="101"/>
      <c r="F151" s="107"/>
      <c r="G151" s="107"/>
      <c r="H151" s="160"/>
      <c r="I151" s="98"/>
      <c r="J151" s="100"/>
      <c r="K151" s="100"/>
    </row>
    <row r="152" spans="1:11" s="50" customFormat="1" x14ac:dyDescent="0.25">
      <c r="A152" s="113"/>
      <c r="B152" s="100"/>
      <c r="C152" s="470"/>
      <c r="D152" s="470"/>
      <c r="E152" s="101"/>
      <c r="F152" s="107"/>
      <c r="G152" s="107"/>
      <c r="H152" s="160"/>
      <c r="I152" s="98"/>
      <c r="J152" s="100"/>
      <c r="K152" s="100"/>
    </row>
    <row r="153" spans="1:11" s="50" customFormat="1" x14ac:dyDescent="0.25">
      <c r="A153" s="113"/>
      <c r="B153" s="100"/>
      <c r="C153" s="470"/>
      <c r="D153" s="470"/>
      <c r="E153" s="49"/>
      <c r="F153" s="105"/>
      <c r="G153" s="105"/>
      <c r="H153" s="160"/>
      <c r="I153" s="98"/>
      <c r="J153" s="100"/>
      <c r="K153" s="100"/>
    </row>
    <row r="154" spans="1:11" s="50" customFormat="1" x14ac:dyDescent="0.25">
      <c r="A154" s="113"/>
      <c r="B154" s="100"/>
      <c r="C154" s="470"/>
      <c r="D154" s="470"/>
      <c r="E154" s="49"/>
      <c r="F154" s="105"/>
      <c r="G154" s="105"/>
      <c r="H154" s="160"/>
      <c r="I154" s="98"/>
      <c r="J154" s="100"/>
      <c r="K154" s="100"/>
    </row>
    <row r="155" spans="1:11" s="50" customFormat="1" x14ac:dyDescent="0.25">
      <c r="A155" s="113"/>
      <c r="B155" s="100"/>
      <c r="C155" s="470"/>
      <c r="D155" s="470"/>
      <c r="E155" s="49"/>
      <c r="F155" s="105"/>
      <c r="G155" s="105"/>
      <c r="H155" s="160"/>
      <c r="I155" s="98"/>
      <c r="J155" s="100"/>
      <c r="K155" s="100"/>
    </row>
    <row r="156" spans="1:11" s="50" customFormat="1" x14ac:dyDescent="0.25">
      <c r="A156" s="113"/>
      <c r="B156" s="100"/>
      <c r="C156" s="470"/>
      <c r="D156" s="470"/>
      <c r="E156" s="49"/>
      <c r="F156" s="105"/>
      <c r="G156" s="105"/>
      <c r="H156" s="160"/>
      <c r="I156" s="98"/>
      <c r="J156" s="100"/>
      <c r="K156" s="100"/>
    </row>
    <row r="157" spans="1:11" s="50" customFormat="1" x14ac:dyDescent="0.25">
      <c r="A157" s="113"/>
      <c r="B157" s="100"/>
      <c r="C157" s="470"/>
      <c r="D157" s="470"/>
      <c r="E157" s="49"/>
      <c r="F157" s="105"/>
      <c r="G157" s="105"/>
      <c r="H157" s="160"/>
      <c r="I157" s="98"/>
      <c r="J157" s="100"/>
      <c r="K157" s="100"/>
    </row>
    <row r="158" spans="1:11" s="109" customFormat="1" x14ac:dyDescent="0.25">
      <c r="A158" s="113"/>
      <c r="B158" s="100"/>
      <c r="C158" s="470"/>
      <c r="D158" s="470"/>
      <c r="E158" s="49"/>
      <c r="F158" s="105"/>
      <c r="G158" s="105"/>
      <c r="H158" s="160"/>
      <c r="I158" s="98"/>
      <c r="J158" s="100"/>
      <c r="K158" s="100"/>
    </row>
    <row r="159" spans="1:11" s="102" customFormat="1" ht="18.75" x14ac:dyDescent="0.25">
      <c r="A159" s="98"/>
      <c r="B159" s="100"/>
      <c r="C159" s="470"/>
      <c r="D159" s="475"/>
      <c r="E159" s="127"/>
      <c r="F159" s="131"/>
      <c r="G159" s="131"/>
      <c r="H159" s="173"/>
      <c r="I159" s="98"/>
      <c r="J159" s="100"/>
      <c r="K159" s="98"/>
    </row>
    <row r="160" spans="1:11" s="102" customFormat="1" x14ac:dyDescent="0.25">
      <c r="A160" s="98"/>
      <c r="B160" s="100"/>
      <c r="C160" s="470"/>
      <c r="D160" s="470"/>
      <c r="E160" s="101"/>
      <c r="F160" s="107"/>
      <c r="G160" s="107"/>
      <c r="H160" s="167"/>
      <c r="I160" s="98"/>
      <c r="J160" s="100"/>
      <c r="K160" s="100"/>
    </row>
    <row r="161" spans="1:11" s="102" customFormat="1" x14ac:dyDescent="0.25">
      <c r="A161" s="98"/>
      <c r="B161" s="100"/>
      <c r="C161" s="470"/>
      <c r="D161" s="470"/>
      <c r="E161" s="101"/>
      <c r="F161" s="107"/>
      <c r="G161" s="107"/>
      <c r="H161" s="167"/>
      <c r="I161" s="98"/>
      <c r="J161" s="100"/>
      <c r="K161" s="100"/>
    </row>
    <row r="162" spans="1:11" s="102" customFormat="1" ht="18.75" x14ac:dyDescent="0.25">
      <c r="A162" s="98"/>
      <c r="B162" s="100"/>
      <c r="C162" s="470"/>
      <c r="D162" s="475"/>
      <c r="E162" s="101"/>
      <c r="F162" s="107"/>
      <c r="G162" s="107"/>
      <c r="H162" s="167"/>
      <c r="I162" s="98"/>
      <c r="J162" s="100"/>
      <c r="K162" s="100"/>
    </row>
    <row r="163" spans="1:11" s="102" customFormat="1" x14ac:dyDescent="0.25">
      <c r="A163" s="98"/>
      <c r="B163" s="100"/>
      <c r="C163" s="470"/>
      <c r="D163" s="470"/>
      <c r="E163" s="101"/>
      <c r="F163" s="107"/>
      <c r="G163" s="107"/>
      <c r="H163" s="167"/>
      <c r="I163" s="98"/>
      <c r="J163" s="100"/>
      <c r="K163" s="100"/>
    </row>
    <row r="164" spans="1:11" s="102" customFormat="1" ht="18.75" x14ac:dyDescent="0.25">
      <c r="A164" s="98"/>
      <c r="B164" s="100"/>
      <c r="C164" s="470"/>
      <c r="D164" s="475"/>
      <c r="E164" s="101"/>
      <c r="F164" s="107"/>
      <c r="G164" s="107"/>
      <c r="H164" s="167"/>
      <c r="I164" s="98"/>
      <c r="J164" s="100"/>
      <c r="K164" s="100"/>
    </row>
    <row r="165" spans="1:11" s="102" customFormat="1" ht="18.75" x14ac:dyDescent="0.25">
      <c r="A165" s="98"/>
      <c r="B165" s="100"/>
      <c r="C165" s="470"/>
      <c r="D165" s="475"/>
      <c r="E165" s="101"/>
      <c r="F165" s="107"/>
      <c r="G165" s="107"/>
      <c r="H165" s="167"/>
      <c r="I165" s="98"/>
      <c r="J165" s="100"/>
      <c r="K165" s="100"/>
    </row>
    <row r="166" spans="1:11" s="102" customFormat="1" ht="18.75" x14ac:dyDescent="0.25">
      <c r="A166" s="98"/>
      <c r="B166" s="100"/>
      <c r="C166" s="470"/>
      <c r="D166" s="475"/>
      <c r="E166" s="101"/>
      <c r="F166" s="107"/>
      <c r="G166" s="107"/>
      <c r="H166" s="167"/>
      <c r="I166" s="98"/>
      <c r="J166" s="100"/>
      <c r="K166" s="100"/>
    </row>
    <row r="167" spans="1:11" s="102" customFormat="1" x14ac:dyDescent="0.25">
      <c r="A167" s="98"/>
      <c r="B167" s="100"/>
      <c r="C167" s="470"/>
      <c r="D167" s="470"/>
      <c r="E167" s="101"/>
      <c r="F167" s="107"/>
      <c r="G167" s="107"/>
      <c r="H167" s="167"/>
      <c r="I167" s="98"/>
      <c r="J167" s="100"/>
      <c r="K167" s="100"/>
    </row>
    <row r="168" spans="1:11" s="102" customFormat="1" ht="18.75" x14ac:dyDescent="0.25">
      <c r="A168" s="112"/>
      <c r="B168" s="77"/>
      <c r="C168" s="476"/>
      <c r="D168" s="477"/>
      <c r="E168" s="104"/>
      <c r="F168" s="105"/>
      <c r="G168" s="105"/>
      <c r="H168" s="160"/>
      <c r="I168" s="112"/>
      <c r="J168" s="100"/>
      <c r="K168" s="77"/>
    </row>
    <row r="169" spans="1:11" s="102" customFormat="1" x14ac:dyDescent="0.25">
      <c r="A169" s="98"/>
      <c r="B169" s="100"/>
      <c r="C169" s="132"/>
      <c r="D169" s="132"/>
      <c r="E169" s="101"/>
      <c r="F169" s="107"/>
      <c r="G169" s="107"/>
      <c r="H169" s="167"/>
      <c r="I169" s="98"/>
      <c r="J169" s="100"/>
      <c r="K169" s="100"/>
    </row>
    <row r="170" spans="1:11" s="102" customFormat="1" ht="18.75" x14ac:dyDescent="0.25">
      <c r="A170" s="98"/>
      <c r="B170" s="100"/>
      <c r="C170" s="470"/>
      <c r="D170" s="475"/>
      <c r="E170" s="101"/>
      <c r="F170" s="107"/>
      <c r="G170" s="107"/>
      <c r="H170" s="167"/>
      <c r="I170" s="98"/>
      <c r="J170" s="100"/>
      <c r="K170" s="100"/>
    </row>
    <row r="171" spans="1:11" s="102" customFormat="1" ht="18.75" x14ac:dyDescent="0.25">
      <c r="A171" s="98"/>
      <c r="B171" s="100"/>
      <c r="C171" s="470"/>
      <c r="D171" s="475"/>
      <c r="E171" s="101"/>
      <c r="F171" s="107"/>
      <c r="G171" s="107"/>
      <c r="H171" s="167"/>
      <c r="I171" s="98"/>
      <c r="J171" s="100"/>
      <c r="K171" s="100"/>
    </row>
    <row r="172" spans="1:11" s="102" customFormat="1" ht="18.75" x14ac:dyDescent="0.25">
      <c r="A172" s="98"/>
      <c r="B172" s="100"/>
      <c r="C172" s="470"/>
      <c r="D172" s="475"/>
      <c r="E172" s="101"/>
      <c r="F172" s="107"/>
      <c r="G172" s="107"/>
      <c r="H172" s="167"/>
      <c r="I172" s="98"/>
      <c r="J172" s="100"/>
      <c r="K172" s="100"/>
    </row>
    <row r="173" spans="1:11" s="102" customFormat="1" ht="18.75" x14ac:dyDescent="0.25">
      <c r="A173" s="98"/>
      <c r="B173" s="100"/>
      <c r="C173" s="133"/>
      <c r="D173" s="134"/>
      <c r="E173" s="101"/>
      <c r="F173" s="107"/>
      <c r="G173" s="107"/>
      <c r="H173" s="167"/>
      <c r="I173" s="98"/>
      <c r="J173" s="100"/>
      <c r="K173" s="100"/>
    </row>
    <row r="174" spans="1:11" s="50" customFormat="1" ht="29.1" customHeight="1" x14ac:dyDescent="0.25">
      <c r="A174" s="112"/>
      <c r="B174" s="100"/>
      <c r="C174" s="133"/>
      <c r="D174" s="134"/>
      <c r="E174" s="101"/>
      <c r="F174" s="107"/>
      <c r="G174" s="107"/>
      <c r="H174" s="167"/>
      <c r="I174" s="100"/>
      <c r="J174" s="100"/>
      <c r="K174" s="100"/>
    </row>
    <row r="175" spans="1:11" s="50" customFormat="1" ht="29.1" customHeight="1" x14ac:dyDescent="0.25">
      <c r="A175" s="115"/>
      <c r="B175" s="113"/>
      <c r="C175" s="113"/>
      <c r="D175" s="113"/>
      <c r="E175" s="49"/>
      <c r="G175" s="49"/>
      <c r="H175" s="164"/>
      <c r="I175" s="39"/>
      <c r="J175" s="39"/>
    </row>
    <row r="176" spans="1:11" s="50" customFormat="1" ht="47.25" customHeight="1" x14ac:dyDescent="0.25">
      <c r="A176" s="121"/>
      <c r="B176" s="113"/>
      <c r="C176" s="113"/>
      <c r="D176" s="113"/>
      <c r="E176" s="49"/>
      <c r="G176" s="49"/>
      <c r="H176" s="160"/>
      <c r="I176" s="39"/>
      <c r="J176" s="39"/>
    </row>
    <row r="177" spans="1:11" s="96" customFormat="1" x14ac:dyDescent="0.25">
      <c r="A177" s="116"/>
      <c r="B177" s="117"/>
      <c r="C177" s="117"/>
      <c r="D177" s="117"/>
      <c r="E177" s="92"/>
      <c r="F177" s="46"/>
      <c r="G177" s="92"/>
      <c r="H177" s="164"/>
      <c r="I177" s="39"/>
      <c r="J177" s="39"/>
      <c r="K177" s="50"/>
    </row>
    <row r="178" spans="1:11" s="96" customFormat="1" x14ac:dyDescent="0.25">
      <c r="B178" s="118"/>
      <c r="C178" s="119"/>
      <c r="D178" s="119"/>
      <c r="E178" s="95"/>
      <c r="G178" s="95"/>
      <c r="H178" s="176"/>
      <c r="I178" s="94"/>
      <c r="J178" s="94"/>
    </row>
    <row r="179" spans="1:11" s="96" customFormat="1" x14ac:dyDescent="0.25">
      <c r="A179" s="474"/>
      <c r="B179" s="474"/>
      <c r="C179" s="474"/>
      <c r="D179" s="474"/>
      <c r="E179" s="474"/>
      <c r="F179" s="474"/>
      <c r="G179" s="474"/>
      <c r="H179" s="474"/>
      <c r="I179" s="94"/>
      <c r="J179" s="94"/>
    </row>
    <row r="180" spans="1:11" s="96" customFormat="1" x14ac:dyDescent="0.25">
      <c r="B180" s="94"/>
      <c r="C180" s="94"/>
      <c r="D180" s="94"/>
      <c r="E180" s="95"/>
      <c r="G180" s="95"/>
      <c r="H180" s="176"/>
      <c r="I180" s="94"/>
      <c r="J180" s="94"/>
    </row>
    <row r="181" spans="1:11" s="96" customFormat="1" x14ac:dyDescent="0.25">
      <c r="B181" s="94"/>
      <c r="C181" s="94"/>
      <c r="D181" s="94"/>
      <c r="E181" s="95"/>
      <c r="G181" s="95"/>
      <c r="H181" s="176"/>
      <c r="I181" s="94"/>
      <c r="J181" s="94"/>
    </row>
    <row r="182" spans="1:11" x14ac:dyDescent="0.25">
      <c r="A182" s="96"/>
      <c r="B182" s="94"/>
      <c r="C182" s="94"/>
      <c r="D182" s="94"/>
      <c r="E182" s="122"/>
      <c r="F182" s="96"/>
      <c r="G182" s="95"/>
      <c r="H182" s="176"/>
      <c r="I182" s="94"/>
      <c r="J182" s="94"/>
      <c r="K182" s="96"/>
    </row>
    <row r="184" spans="1:11" x14ac:dyDescent="0.25">
      <c r="E184" s="61"/>
      <c r="G184" s="62"/>
      <c r="I184" s="63"/>
    </row>
  </sheetData>
  <mergeCells count="90">
    <mergeCell ref="C85:D85"/>
    <mergeCell ref="C129:D129"/>
    <mergeCell ref="C93:D93"/>
    <mergeCell ref="C103:D103"/>
    <mergeCell ref="C109:D109"/>
    <mergeCell ref="A1:H1"/>
    <mergeCell ref="A8:K8"/>
    <mergeCell ref="A9:K9"/>
    <mergeCell ref="A11:K11"/>
    <mergeCell ref="C156:D156"/>
    <mergeCell ref="C101:D101"/>
    <mergeCell ref="C149:D149"/>
    <mergeCell ref="C150:D150"/>
    <mergeCell ref="C152:D152"/>
    <mergeCell ref="C151:D151"/>
    <mergeCell ref="C126:D126"/>
    <mergeCell ref="C128:D128"/>
    <mergeCell ref="C148:D148"/>
    <mergeCell ref="A115:K115"/>
    <mergeCell ref="A116:K116"/>
    <mergeCell ref="C118:D118"/>
    <mergeCell ref="C171:D171"/>
    <mergeCell ref="C172:D172"/>
    <mergeCell ref="C94:D94"/>
    <mergeCell ref="C95:D95"/>
    <mergeCell ref="C91:D91"/>
    <mergeCell ref="C92:D92"/>
    <mergeCell ref="A145:K145"/>
    <mergeCell ref="A146:K146"/>
    <mergeCell ref="D127:E127"/>
    <mergeCell ref="C138:D138"/>
    <mergeCell ref="A122:K122"/>
    <mergeCell ref="C125:D125"/>
    <mergeCell ref="A134:K134"/>
    <mergeCell ref="A135:K135"/>
    <mergeCell ref="C137:D137"/>
    <mergeCell ref="C107:D107"/>
    <mergeCell ref="A179:H179"/>
    <mergeCell ref="C153:D153"/>
    <mergeCell ref="C164:D164"/>
    <mergeCell ref="C165:D165"/>
    <mergeCell ref="C160:D160"/>
    <mergeCell ref="C163:D163"/>
    <mergeCell ref="C157:D157"/>
    <mergeCell ref="C158:D158"/>
    <mergeCell ref="C161:D161"/>
    <mergeCell ref="C159:D159"/>
    <mergeCell ref="C162:D162"/>
    <mergeCell ref="C154:D154"/>
    <mergeCell ref="C155:D155"/>
    <mergeCell ref="C168:D168"/>
    <mergeCell ref="C166:D166"/>
    <mergeCell ref="C170:D170"/>
    <mergeCell ref="C167:D167"/>
    <mergeCell ref="A72:K72"/>
    <mergeCell ref="C86:D86"/>
    <mergeCell ref="C82:D82"/>
    <mergeCell ref="C87:D87"/>
    <mergeCell ref="C83:D83"/>
    <mergeCell ref="C104:D104"/>
    <mergeCell ref="C105:D105"/>
    <mergeCell ref="C106:D106"/>
    <mergeCell ref="A121:K121"/>
    <mergeCell ref="C108:D108"/>
    <mergeCell ref="C96:D96"/>
    <mergeCell ref="C97:D97"/>
    <mergeCell ref="C98:D98"/>
    <mergeCell ref="C99:D99"/>
    <mergeCell ref="C100:D100"/>
    <mergeCell ref="A48:K48"/>
    <mergeCell ref="A49:K49"/>
    <mergeCell ref="A54:K54"/>
    <mergeCell ref="A55:K55"/>
    <mergeCell ref="C143:D143"/>
    <mergeCell ref="A71:H71"/>
    <mergeCell ref="C141:D141"/>
    <mergeCell ref="C142:D142"/>
    <mergeCell ref="C139:D139"/>
    <mergeCell ref="C111:D111"/>
    <mergeCell ref="C112:D112"/>
    <mergeCell ref="C130:D130"/>
    <mergeCell ref="C140:D140"/>
    <mergeCell ref="C113:D113"/>
    <mergeCell ref="C131:D131"/>
    <mergeCell ref="C84:D84"/>
    <mergeCell ref="A10:K10"/>
    <mergeCell ref="A36:K36"/>
    <mergeCell ref="A42:K42"/>
    <mergeCell ref="A43:K43"/>
    <mergeCell ref="A37:K37"/>
  </mergeCells>
  <pageMargins left="0.7" right="0.7" top="0.75" bottom="0.75" header="0.3" footer="0.3"/>
  <pageSetup paperSize="8" scale="44" orientation="landscape" r:id="rId1"/>
  <rowBreaks count="2" manualBreakCount="2">
    <brk id="35" max="10" man="1"/>
    <brk id="47"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topLeftCell="A61" zoomScale="60" zoomScaleNormal="70" workbookViewId="0">
      <selection activeCell="E34" sqref="E34"/>
    </sheetView>
  </sheetViews>
  <sheetFormatPr defaultRowHeight="18" x14ac:dyDescent="0.25"/>
  <cols>
    <col min="1" max="1" width="46" style="29" customWidth="1"/>
    <col min="2" max="2" width="69.140625" style="60" customWidth="1"/>
    <col min="3" max="3" width="20" style="60" customWidth="1"/>
    <col min="4" max="4" width="15.7109375" style="60" bestFit="1" customWidth="1"/>
    <col min="5" max="5" width="16.85546875" style="59" customWidth="1"/>
    <col min="6" max="6" width="13.140625" style="29" customWidth="1"/>
    <col min="7" max="7" width="12.85546875" style="59" customWidth="1"/>
    <col min="8" max="8" width="23.28515625" style="162" bestFit="1" customWidth="1"/>
    <col min="9" max="9" width="39.7109375" style="60" customWidth="1"/>
    <col min="10" max="10" width="72.28515625" style="60" customWidth="1"/>
    <col min="11" max="11" width="21.140625" style="29" customWidth="1"/>
    <col min="12" max="16384" width="9.140625" style="29"/>
  </cols>
  <sheetData>
    <row r="1" spans="1:11" s="27" customFormat="1" x14ac:dyDescent="0.25">
      <c r="A1" s="450"/>
      <c r="B1" s="450"/>
      <c r="C1" s="450"/>
      <c r="D1" s="450"/>
      <c r="E1" s="450"/>
      <c r="F1" s="450"/>
      <c r="G1" s="450"/>
      <c r="H1" s="450"/>
      <c r="I1" s="26"/>
      <c r="J1" s="26"/>
    </row>
    <row r="2" spans="1:11" s="27" customFormat="1" x14ac:dyDescent="0.25">
      <c r="A2" s="28"/>
      <c r="B2" s="28"/>
      <c r="C2" s="28"/>
      <c r="D2" s="28"/>
      <c r="E2" s="28"/>
      <c r="F2" s="28"/>
      <c r="G2" s="28"/>
      <c r="H2" s="153"/>
      <c r="I2" s="26"/>
      <c r="J2" s="26"/>
    </row>
    <row r="3" spans="1:11" s="27" customFormat="1" x14ac:dyDescent="0.25">
      <c r="A3" s="28"/>
      <c r="B3" s="28"/>
      <c r="C3" s="28"/>
      <c r="D3" s="28"/>
      <c r="E3" s="28"/>
      <c r="F3" s="28"/>
      <c r="G3" s="28"/>
      <c r="H3" s="153"/>
      <c r="I3" s="26"/>
      <c r="J3" s="26"/>
    </row>
    <row r="4" spans="1:11" s="27" customFormat="1" x14ac:dyDescent="0.25">
      <c r="A4" s="28"/>
      <c r="B4" s="28"/>
      <c r="C4" s="28"/>
      <c r="D4" s="28"/>
      <c r="E4" s="28"/>
      <c r="F4" s="28"/>
      <c r="G4" s="28"/>
      <c r="H4" s="153"/>
      <c r="I4" s="26"/>
      <c r="J4" s="26"/>
    </row>
    <row r="5" spans="1:11" s="27" customFormat="1" x14ac:dyDescent="0.25">
      <c r="A5" s="28"/>
      <c r="B5" s="28"/>
      <c r="C5" s="28"/>
      <c r="D5" s="28"/>
      <c r="E5" s="28"/>
      <c r="F5" s="28"/>
      <c r="G5" s="28"/>
      <c r="H5" s="153"/>
      <c r="I5" s="26"/>
      <c r="J5" s="26"/>
    </row>
    <row r="6" spans="1:11" s="27" customFormat="1" x14ac:dyDescent="0.25">
      <c r="A6" s="28"/>
      <c r="B6" s="28"/>
      <c r="C6" s="28"/>
      <c r="D6" s="28"/>
      <c r="E6" s="28"/>
      <c r="F6" s="28"/>
      <c r="G6" s="28"/>
      <c r="H6" s="153"/>
      <c r="I6" s="26"/>
      <c r="J6" s="26"/>
    </row>
    <row r="7" spans="1:11" s="27" customFormat="1" x14ac:dyDescent="0.25">
      <c r="A7" s="28"/>
      <c r="B7" s="28"/>
      <c r="C7" s="28"/>
      <c r="D7" s="28"/>
      <c r="E7" s="28"/>
      <c r="F7" s="28"/>
      <c r="G7" s="28"/>
      <c r="H7" s="153"/>
      <c r="I7" s="26"/>
      <c r="J7" s="26"/>
    </row>
    <row r="8" spans="1:11" s="27" customFormat="1" ht="38.25" customHeight="1" x14ac:dyDescent="0.25">
      <c r="A8" s="450"/>
      <c r="B8" s="450"/>
      <c r="C8" s="450"/>
      <c r="D8" s="450"/>
      <c r="E8" s="450"/>
      <c r="F8" s="450"/>
      <c r="G8" s="450"/>
      <c r="H8" s="450"/>
      <c r="I8" s="450"/>
      <c r="J8" s="450"/>
      <c r="K8" s="450"/>
    </row>
    <row r="9" spans="1:11" ht="41.25" customHeight="1" x14ac:dyDescent="0.25">
      <c r="A9" s="451" t="s">
        <v>111</v>
      </c>
      <c r="B9" s="451"/>
      <c r="C9" s="451"/>
      <c r="D9" s="451"/>
      <c r="E9" s="451"/>
      <c r="F9" s="451"/>
      <c r="G9" s="451"/>
      <c r="H9" s="451"/>
      <c r="I9" s="451"/>
      <c r="J9" s="451"/>
      <c r="K9" s="451"/>
    </row>
    <row r="10" spans="1:11" ht="29.1" customHeight="1" x14ac:dyDescent="0.25">
      <c r="A10" s="452"/>
      <c r="B10" s="452"/>
      <c r="C10" s="452"/>
      <c r="D10" s="452"/>
      <c r="E10" s="452"/>
      <c r="F10" s="452"/>
      <c r="G10" s="452"/>
      <c r="H10" s="452"/>
      <c r="I10" s="452"/>
      <c r="J10" s="452"/>
      <c r="K10" s="452"/>
    </row>
    <row r="11" spans="1:11" ht="36.75" customHeight="1" x14ac:dyDescent="0.25">
      <c r="A11" s="452" t="s">
        <v>16</v>
      </c>
      <c r="B11" s="452"/>
      <c r="C11" s="452"/>
      <c r="D11" s="452"/>
      <c r="E11" s="452"/>
      <c r="F11" s="452"/>
      <c r="G11" s="452"/>
      <c r="H11" s="452"/>
      <c r="I11" s="452"/>
      <c r="J11" s="452"/>
      <c r="K11" s="452"/>
    </row>
    <row r="12" spans="1:11" s="96" customFormat="1" ht="60.75" customHeight="1" x14ac:dyDescent="0.25">
      <c r="A12" s="145" t="s">
        <v>0</v>
      </c>
      <c r="B12" s="145" t="s">
        <v>1</v>
      </c>
      <c r="C12" s="146" t="s">
        <v>12</v>
      </c>
      <c r="D12" s="146" t="s">
        <v>13</v>
      </c>
      <c r="E12" s="145" t="s">
        <v>2</v>
      </c>
      <c r="F12" s="147" t="s">
        <v>3</v>
      </c>
      <c r="G12" s="145" t="s">
        <v>4</v>
      </c>
      <c r="H12" s="154" t="s">
        <v>5</v>
      </c>
      <c r="I12" s="149" t="s">
        <v>14</v>
      </c>
      <c r="J12" s="149" t="s">
        <v>10</v>
      </c>
      <c r="K12" s="149" t="s">
        <v>9</v>
      </c>
    </row>
    <row r="13" spans="1:11" s="96" customFormat="1" ht="51" customHeight="1" x14ac:dyDescent="0.25">
      <c r="A13" s="85" t="s">
        <v>112</v>
      </c>
      <c r="B13" s="74" t="s">
        <v>113</v>
      </c>
      <c r="C13" s="73" t="s">
        <v>109</v>
      </c>
      <c r="D13" s="73" t="s">
        <v>141</v>
      </c>
      <c r="E13" s="9" t="s">
        <v>20</v>
      </c>
      <c r="F13" s="69">
        <v>0</v>
      </c>
      <c r="G13" s="6">
        <v>0</v>
      </c>
      <c r="H13" s="355">
        <f>21790.4+20450.94</f>
        <v>42241.34</v>
      </c>
      <c r="I13" s="73" t="s">
        <v>141</v>
      </c>
      <c r="J13" s="74" t="s">
        <v>113</v>
      </c>
      <c r="K13" s="2" t="s">
        <v>47</v>
      </c>
    </row>
    <row r="14" spans="1:11" s="50" customFormat="1" ht="58.5" customHeight="1" x14ac:dyDescent="0.25">
      <c r="A14" s="85" t="s">
        <v>114</v>
      </c>
      <c r="B14" s="74" t="s">
        <v>115</v>
      </c>
      <c r="C14" s="73" t="s">
        <v>109</v>
      </c>
      <c r="D14" s="73" t="s">
        <v>141</v>
      </c>
      <c r="E14" s="9" t="s">
        <v>20</v>
      </c>
      <c r="F14" s="69">
        <v>0</v>
      </c>
      <c r="G14" s="6">
        <v>0.75</v>
      </c>
      <c r="H14" s="359">
        <v>4952530.9800000004</v>
      </c>
      <c r="I14" s="8" t="s">
        <v>116</v>
      </c>
      <c r="J14" s="74" t="s">
        <v>117</v>
      </c>
      <c r="K14" s="2" t="s">
        <v>118</v>
      </c>
    </row>
    <row r="15" spans="1:11" s="50" customFormat="1" ht="51" customHeight="1" x14ac:dyDescent="0.25">
      <c r="A15" s="85" t="s">
        <v>119</v>
      </c>
      <c r="B15" s="74" t="s">
        <v>120</v>
      </c>
      <c r="C15" s="73" t="s">
        <v>109</v>
      </c>
      <c r="D15" s="73" t="s">
        <v>141</v>
      </c>
      <c r="E15" s="9" t="s">
        <v>20</v>
      </c>
      <c r="F15" s="69">
        <v>0</v>
      </c>
      <c r="G15" s="6">
        <v>0</v>
      </c>
      <c r="H15" s="355">
        <v>1914437.68</v>
      </c>
      <c r="I15" s="8" t="s">
        <v>116</v>
      </c>
      <c r="J15" s="74" t="s">
        <v>121</v>
      </c>
      <c r="K15" s="2" t="s">
        <v>118</v>
      </c>
    </row>
    <row r="16" spans="1:11" s="50" customFormat="1" ht="52.5" customHeight="1" x14ac:dyDescent="0.25">
      <c r="A16" s="341" t="s">
        <v>223</v>
      </c>
      <c r="B16" s="342" t="s">
        <v>376</v>
      </c>
      <c r="C16" s="343" t="s">
        <v>377</v>
      </c>
      <c r="D16" s="343" t="s">
        <v>378</v>
      </c>
      <c r="E16" s="339" t="s">
        <v>20</v>
      </c>
      <c r="F16" s="340">
        <v>0</v>
      </c>
      <c r="G16" s="335">
        <v>0.75</v>
      </c>
      <c r="H16" s="359">
        <v>500000.01</v>
      </c>
      <c r="I16" s="338" t="s">
        <v>379</v>
      </c>
      <c r="J16" s="342" t="s">
        <v>380</v>
      </c>
      <c r="K16" s="336" t="s">
        <v>78</v>
      </c>
    </row>
    <row r="17" spans="1:11" s="50" customFormat="1" ht="52.5" customHeight="1" x14ac:dyDescent="0.25">
      <c r="A17" s="310" t="s">
        <v>221</v>
      </c>
      <c r="B17" s="311" t="s">
        <v>351</v>
      </c>
      <c r="C17" s="312" t="s">
        <v>352</v>
      </c>
      <c r="D17" s="312" t="s">
        <v>353</v>
      </c>
      <c r="E17" s="308" t="s">
        <v>274</v>
      </c>
      <c r="F17" s="309">
        <v>0</v>
      </c>
      <c r="G17" s="304">
        <v>0</v>
      </c>
      <c r="H17" s="306">
        <f>100493.87+21146.2+58201.47+58201.47+14185.31+58201.47</f>
        <v>310429.78999999998</v>
      </c>
      <c r="I17" s="307" t="s">
        <v>354</v>
      </c>
      <c r="J17" s="311" t="s">
        <v>355</v>
      </c>
      <c r="K17" s="305" t="s">
        <v>356</v>
      </c>
    </row>
    <row r="18" spans="1:11" s="50" customFormat="1" ht="52.5" customHeight="1" x14ac:dyDescent="0.25">
      <c r="A18" s="310" t="s">
        <v>222</v>
      </c>
      <c r="B18" s="311" t="s">
        <v>351</v>
      </c>
      <c r="C18" s="312" t="s">
        <v>352</v>
      </c>
      <c r="D18" s="312" t="s">
        <v>353</v>
      </c>
      <c r="E18" s="308" t="s">
        <v>274</v>
      </c>
      <c r="F18" s="309">
        <v>0</v>
      </c>
      <c r="G18" s="304">
        <v>0</v>
      </c>
      <c r="H18" s="306">
        <f>251870.06+303370.17+47000.27+88719.42+291872.37</f>
        <v>982832.29</v>
      </c>
      <c r="I18" s="307" t="s">
        <v>354</v>
      </c>
      <c r="J18" s="311" t="s">
        <v>355</v>
      </c>
      <c r="K18" s="305" t="s">
        <v>356</v>
      </c>
    </row>
    <row r="19" spans="1:11" s="114" customFormat="1" ht="52.5" customHeight="1" x14ac:dyDescent="0.25">
      <c r="A19" s="341" t="s">
        <v>406</v>
      </c>
      <c r="B19" s="342" t="s">
        <v>467</v>
      </c>
      <c r="C19" s="343" t="s">
        <v>154</v>
      </c>
      <c r="D19" s="343"/>
      <c r="E19" s="347"/>
      <c r="F19" s="340">
        <v>0.7</v>
      </c>
      <c r="G19" s="353">
        <v>1</v>
      </c>
      <c r="H19" s="359">
        <v>50030</v>
      </c>
      <c r="I19" s="346" t="s">
        <v>322</v>
      </c>
      <c r="J19" s="342" t="s">
        <v>468</v>
      </c>
      <c r="K19" s="354" t="s">
        <v>469</v>
      </c>
    </row>
    <row r="20" spans="1:11" s="416" customFormat="1" ht="52.5" customHeight="1" x14ac:dyDescent="0.25">
      <c r="A20" s="417" t="s">
        <v>490</v>
      </c>
      <c r="B20" s="418" t="s">
        <v>543</v>
      </c>
      <c r="C20" s="419" t="s">
        <v>109</v>
      </c>
      <c r="D20" s="419" t="s">
        <v>31</v>
      </c>
      <c r="E20" s="414" t="s">
        <v>20</v>
      </c>
      <c r="F20" s="415">
        <v>0</v>
      </c>
      <c r="G20" s="410">
        <v>0</v>
      </c>
      <c r="H20" s="412">
        <v>55000</v>
      </c>
      <c r="I20" s="413" t="s">
        <v>544</v>
      </c>
      <c r="J20" s="418" t="s">
        <v>545</v>
      </c>
      <c r="K20" s="411" t="s">
        <v>78</v>
      </c>
    </row>
    <row r="21" spans="1:11" s="114" customFormat="1" ht="52.5" customHeight="1" x14ac:dyDescent="0.25">
      <c r="A21" s="341" t="s">
        <v>491</v>
      </c>
      <c r="B21" s="342" t="s">
        <v>526</v>
      </c>
      <c r="C21" s="343" t="s">
        <v>154</v>
      </c>
      <c r="D21" s="343"/>
      <c r="E21" s="374"/>
      <c r="F21" s="340">
        <v>1</v>
      </c>
      <c r="G21" s="377">
        <v>1</v>
      </c>
      <c r="H21" s="359">
        <v>76345</v>
      </c>
      <c r="I21" s="346" t="s">
        <v>322</v>
      </c>
      <c r="J21" s="342" t="s">
        <v>531</v>
      </c>
      <c r="K21" s="372" t="s">
        <v>356</v>
      </c>
    </row>
    <row r="22" spans="1:11" s="114" customFormat="1" ht="52.5" customHeight="1" x14ac:dyDescent="0.25">
      <c r="A22" s="341" t="s">
        <v>492</v>
      </c>
      <c r="B22" s="342" t="s">
        <v>527</v>
      </c>
      <c r="C22" s="343" t="s">
        <v>528</v>
      </c>
      <c r="D22" s="343" t="s">
        <v>529</v>
      </c>
      <c r="E22" s="374" t="s">
        <v>530</v>
      </c>
      <c r="F22" s="340">
        <v>0</v>
      </c>
      <c r="G22" s="377">
        <v>0</v>
      </c>
      <c r="H22" s="359">
        <v>465690</v>
      </c>
      <c r="I22" s="346" t="s">
        <v>322</v>
      </c>
      <c r="J22" s="342" t="s">
        <v>532</v>
      </c>
      <c r="K22" s="372" t="s">
        <v>309</v>
      </c>
    </row>
    <row r="23" spans="1:11" s="416" customFormat="1" ht="52.5" customHeight="1" x14ac:dyDescent="0.25">
      <c r="A23" s="417" t="s">
        <v>556</v>
      </c>
      <c r="B23" s="418" t="s">
        <v>631</v>
      </c>
      <c r="C23" s="419" t="s">
        <v>629</v>
      </c>
      <c r="D23" s="419" t="s">
        <v>630</v>
      </c>
      <c r="E23" s="414" t="s">
        <v>450</v>
      </c>
      <c r="F23" s="415">
        <v>0</v>
      </c>
      <c r="G23" s="410">
        <v>0.6</v>
      </c>
      <c r="H23" s="412">
        <f>867063.6+150000</f>
        <v>1017063.6</v>
      </c>
      <c r="I23" s="413" t="s">
        <v>322</v>
      </c>
      <c r="J23" s="418" t="s">
        <v>631</v>
      </c>
      <c r="K23" s="411" t="s">
        <v>632</v>
      </c>
    </row>
    <row r="24" spans="1:11" s="416" customFormat="1" ht="52.5" customHeight="1" x14ac:dyDescent="0.25">
      <c r="A24" s="417" t="s">
        <v>556</v>
      </c>
      <c r="B24" s="418" t="s">
        <v>631</v>
      </c>
      <c r="C24" s="419" t="s">
        <v>629</v>
      </c>
      <c r="D24" s="419" t="s">
        <v>630</v>
      </c>
      <c r="E24" s="414" t="s">
        <v>450</v>
      </c>
      <c r="F24" s="415">
        <v>0</v>
      </c>
      <c r="G24" s="410">
        <v>0.6</v>
      </c>
      <c r="H24" s="412">
        <v>966118.18</v>
      </c>
      <c r="I24" s="413" t="s">
        <v>322</v>
      </c>
      <c r="J24" s="418" t="s">
        <v>631</v>
      </c>
      <c r="K24" s="411" t="s">
        <v>632</v>
      </c>
    </row>
    <row r="25" spans="1:11" s="416" customFormat="1" ht="52.5" customHeight="1" x14ac:dyDescent="0.25">
      <c r="A25" s="417" t="s">
        <v>557</v>
      </c>
      <c r="B25" s="418" t="s">
        <v>641</v>
      </c>
      <c r="C25" s="419" t="s">
        <v>109</v>
      </c>
      <c r="D25" s="419" t="s">
        <v>642</v>
      </c>
      <c r="E25" s="414" t="s">
        <v>20</v>
      </c>
      <c r="F25" s="415"/>
      <c r="G25" s="410"/>
      <c r="H25" s="412">
        <v>3287941.47</v>
      </c>
      <c r="I25" s="413" t="s">
        <v>322</v>
      </c>
      <c r="J25" s="418" t="s">
        <v>643</v>
      </c>
      <c r="K25" s="411" t="s">
        <v>644</v>
      </c>
    </row>
    <row r="26" spans="1:11" s="416" customFormat="1" ht="108" x14ac:dyDescent="0.25">
      <c r="A26" s="417" t="s">
        <v>558</v>
      </c>
      <c r="B26" s="418" t="s">
        <v>594</v>
      </c>
      <c r="C26" s="419" t="s">
        <v>595</v>
      </c>
      <c r="D26" s="419" t="s">
        <v>596</v>
      </c>
      <c r="E26" s="414" t="s">
        <v>522</v>
      </c>
      <c r="F26" s="415">
        <v>5.0999999999999997E-2</v>
      </c>
      <c r="G26" s="410">
        <v>0.36859999999999998</v>
      </c>
      <c r="H26" s="412">
        <f>496986.42+144602.29</f>
        <v>641588.71</v>
      </c>
      <c r="I26" s="413" t="s">
        <v>322</v>
      </c>
      <c r="J26" s="418" t="s">
        <v>600</v>
      </c>
      <c r="K26" s="411" t="s">
        <v>356</v>
      </c>
    </row>
    <row r="27" spans="1:11" s="416" customFormat="1" ht="52.5" customHeight="1" x14ac:dyDescent="0.25">
      <c r="A27" s="417" t="s">
        <v>233</v>
      </c>
      <c r="B27" s="418" t="s">
        <v>597</v>
      </c>
      <c r="C27" s="437" t="s">
        <v>598</v>
      </c>
      <c r="D27" s="419" t="s">
        <v>599</v>
      </c>
      <c r="E27" s="414" t="s">
        <v>274</v>
      </c>
      <c r="F27" s="415">
        <v>0</v>
      </c>
      <c r="G27" s="410">
        <v>0</v>
      </c>
      <c r="H27" s="412">
        <f>146745.9+104818.5</f>
        <v>251564.4</v>
      </c>
      <c r="I27" s="413" t="s">
        <v>322</v>
      </c>
      <c r="J27" s="418" t="s">
        <v>601</v>
      </c>
      <c r="K27" s="411" t="s">
        <v>356</v>
      </c>
    </row>
    <row r="28" spans="1:11" s="416" customFormat="1" ht="72" x14ac:dyDescent="0.25">
      <c r="A28" s="417" t="s">
        <v>701</v>
      </c>
      <c r="B28" s="418" t="s">
        <v>706</v>
      </c>
      <c r="C28" s="437">
        <v>42130</v>
      </c>
      <c r="D28" s="437">
        <v>43196</v>
      </c>
      <c r="E28" s="414" t="s">
        <v>708</v>
      </c>
      <c r="F28" s="415"/>
      <c r="G28" s="410">
        <v>0.55000000000000004</v>
      </c>
      <c r="H28" s="412">
        <v>114000</v>
      </c>
      <c r="I28" s="413" t="s">
        <v>322</v>
      </c>
      <c r="J28" s="418" t="s">
        <v>707</v>
      </c>
      <c r="K28" s="411" t="s">
        <v>356</v>
      </c>
    </row>
    <row r="29" spans="1:11" s="50" customFormat="1" ht="47.25" customHeight="1" x14ac:dyDescent="0.25">
      <c r="A29" s="53" t="s">
        <v>6</v>
      </c>
      <c r="B29" s="4"/>
      <c r="C29" s="4"/>
      <c r="D29" s="4"/>
      <c r="E29" s="5"/>
      <c r="F29" s="19"/>
      <c r="G29" s="5"/>
      <c r="H29" s="75">
        <f>SUM(H13:H28)</f>
        <v>15627813.450000001</v>
      </c>
      <c r="I29" s="11"/>
      <c r="J29" s="11"/>
      <c r="K29" s="19"/>
    </row>
    <row r="30" spans="1:11" s="50" customFormat="1" ht="51" customHeight="1" x14ac:dyDescent="0.25">
      <c r="A30" s="79"/>
      <c r="B30" s="79"/>
      <c r="C30" s="79"/>
      <c r="D30" s="79"/>
      <c r="E30" s="79"/>
      <c r="F30" s="79"/>
      <c r="G30" s="79"/>
      <c r="H30" s="156"/>
      <c r="I30" s="79"/>
      <c r="J30" s="79"/>
      <c r="K30" s="79"/>
    </row>
    <row r="31" spans="1:11" s="50" customFormat="1" ht="33" customHeight="1" x14ac:dyDescent="0.25">
      <c r="A31" s="460"/>
      <c r="B31" s="460"/>
      <c r="C31" s="460"/>
      <c r="D31" s="460"/>
      <c r="E31" s="460"/>
      <c r="F31" s="460"/>
      <c r="G31" s="460"/>
      <c r="H31" s="460"/>
      <c r="I31" s="460"/>
      <c r="J31" s="460"/>
      <c r="K31" s="460"/>
    </row>
    <row r="32" spans="1:11" s="50" customFormat="1" ht="41.25" customHeight="1" x14ac:dyDescent="0.25">
      <c r="A32" s="458" t="s">
        <v>84</v>
      </c>
      <c r="B32" s="458"/>
      <c r="C32" s="458"/>
      <c r="D32" s="458"/>
      <c r="E32" s="458"/>
      <c r="F32" s="458"/>
      <c r="G32" s="458"/>
      <c r="H32" s="458"/>
      <c r="I32" s="458"/>
      <c r="J32" s="458"/>
      <c r="K32" s="458"/>
    </row>
    <row r="33" spans="1:11" s="50" customFormat="1" ht="36" x14ac:dyDescent="0.25">
      <c r="A33" s="150" t="s">
        <v>0</v>
      </c>
      <c r="B33" s="150" t="s">
        <v>1</v>
      </c>
      <c r="C33" s="149" t="s">
        <v>12</v>
      </c>
      <c r="D33" s="149" t="s">
        <v>13</v>
      </c>
      <c r="E33" s="150" t="s">
        <v>2</v>
      </c>
      <c r="F33" s="151" t="s">
        <v>3</v>
      </c>
      <c r="G33" s="150" t="s">
        <v>4</v>
      </c>
      <c r="H33" s="155" t="s">
        <v>7</v>
      </c>
      <c r="I33" s="149" t="s">
        <v>14</v>
      </c>
      <c r="J33" s="149" t="s">
        <v>10</v>
      </c>
      <c r="K33" s="149" t="s">
        <v>9</v>
      </c>
    </row>
    <row r="34" spans="1:11" s="50" customFormat="1" ht="45.75" customHeight="1" x14ac:dyDescent="0.25">
      <c r="A34" s="31"/>
      <c r="B34" s="2"/>
      <c r="C34" s="80"/>
      <c r="D34" s="80"/>
      <c r="E34" s="16"/>
      <c r="F34" s="6"/>
      <c r="G34" s="6"/>
      <c r="H34" s="12">
        <v>0</v>
      </c>
      <c r="I34" s="17"/>
      <c r="J34" s="22"/>
      <c r="K34" s="7"/>
    </row>
    <row r="35" spans="1:11" s="50" customFormat="1" ht="42" customHeight="1" x14ac:dyDescent="0.25">
      <c r="A35" s="31"/>
      <c r="B35" s="2"/>
      <c r="C35" s="80"/>
      <c r="D35" s="80"/>
      <c r="E35" s="16"/>
      <c r="F35" s="6"/>
      <c r="G35" s="6"/>
      <c r="H35" s="156"/>
      <c r="I35" s="17"/>
      <c r="J35" s="22"/>
      <c r="K35" s="7"/>
    </row>
    <row r="36" spans="1:11" s="135" customFormat="1" ht="39" customHeight="1" x14ac:dyDescent="0.25">
      <c r="A36" s="45" t="s">
        <v>6</v>
      </c>
      <c r="B36" s="30"/>
      <c r="C36" s="30"/>
      <c r="D36" s="30"/>
      <c r="E36" s="40"/>
      <c r="F36" s="45"/>
      <c r="G36" s="40"/>
      <c r="H36" s="158">
        <f>SUM(H34:H35)</f>
        <v>0</v>
      </c>
      <c r="I36" s="11"/>
      <c r="J36" s="11"/>
      <c r="K36" s="11"/>
    </row>
    <row r="37" spans="1:11" s="114" customFormat="1" ht="35.25" customHeight="1" x14ac:dyDescent="0.25">
      <c r="A37" s="456"/>
      <c r="B37" s="456"/>
      <c r="C37" s="456"/>
      <c r="D37" s="456"/>
      <c r="E37" s="456"/>
      <c r="F37" s="456"/>
      <c r="G37" s="456"/>
      <c r="H37" s="456"/>
      <c r="I37" s="456"/>
      <c r="J37" s="456"/>
      <c r="K37" s="456"/>
    </row>
    <row r="38" spans="1:11" s="114" customFormat="1" ht="35.25" customHeight="1" x14ac:dyDescent="0.25">
      <c r="A38" s="456" t="s">
        <v>85</v>
      </c>
      <c r="B38" s="456"/>
      <c r="C38" s="456"/>
      <c r="D38" s="456"/>
      <c r="E38" s="456"/>
      <c r="F38" s="456"/>
      <c r="G38" s="456"/>
      <c r="H38" s="456"/>
      <c r="I38" s="456"/>
      <c r="J38" s="456"/>
      <c r="K38" s="456"/>
    </row>
    <row r="39" spans="1:11" s="114" customFormat="1" ht="36" x14ac:dyDescent="0.25">
      <c r="A39" s="150" t="s">
        <v>0</v>
      </c>
      <c r="B39" s="150" t="s">
        <v>1</v>
      </c>
      <c r="C39" s="149" t="s">
        <v>12</v>
      </c>
      <c r="D39" s="149" t="s">
        <v>13</v>
      </c>
      <c r="E39" s="150" t="s">
        <v>2</v>
      </c>
      <c r="F39" s="151" t="s">
        <v>3</v>
      </c>
      <c r="G39" s="150" t="s">
        <v>4</v>
      </c>
      <c r="H39" s="155" t="s">
        <v>7</v>
      </c>
      <c r="I39" s="149" t="s">
        <v>14</v>
      </c>
      <c r="J39" s="149" t="s">
        <v>10</v>
      </c>
      <c r="K39" s="149" t="s">
        <v>9</v>
      </c>
    </row>
    <row r="40" spans="1:11" s="114" customFormat="1" ht="42" customHeight="1" x14ac:dyDescent="0.25">
      <c r="A40" s="47"/>
      <c r="B40" s="47"/>
      <c r="C40" s="189"/>
      <c r="D40" s="189"/>
      <c r="E40" s="47"/>
      <c r="F40" s="48"/>
      <c r="G40" s="47"/>
      <c r="H40" s="12">
        <v>0</v>
      </c>
      <c r="I40" s="189"/>
      <c r="J40" s="189"/>
      <c r="K40" s="189"/>
    </row>
    <row r="41" spans="1:11" s="114" customFormat="1" ht="42" customHeight="1" x14ac:dyDescent="0.25">
      <c r="A41" s="7"/>
      <c r="B41" s="7"/>
      <c r="C41" s="68"/>
      <c r="D41" s="68"/>
      <c r="E41" s="25"/>
      <c r="F41" s="48"/>
      <c r="G41" s="47"/>
      <c r="H41" s="159"/>
      <c r="I41" s="7"/>
      <c r="J41" s="7"/>
      <c r="K41" s="7"/>
    </row>
    <row r="42" spans="1:11" s="114" customFormat="1" ht="33" customHeight="1" x14ac:dyDescent="0.25">
      <c r="A42" s="45" t="s">
        <v>6</v>
      </c>
      <c r="B42" s="11"/>
      <c r="C42" s="11"/>
      <c r="D42" s="11"/>
      <c r="E42" s="5"/>
      <c r="F42" s="19"/>
      <c r="G42" s="5"/>
      <c r="H42" s="155">
        <f>SUM(H40:H41)</f>
        <v>0</v>
      </c>
      <c r="I42" s="11"/>
      <c r="J42" s="11"/>
      <c r="K42" s="11"/>
    </row>
    <row r="43" spans="1:11" s="102" customFormat="1" x14ac:dyDescent="0.25">
      <c r="A43" s="46"/>
      <c r="B43" s="39"/>
      <c r="C43" s="39"/>
      <c r="D43" s="39"/>
      <c r="E43" s="49"/>
      <c r="F43" s="50"/>
      <c r="G43" s="49"/>
      <c r="H43" s="160"/>
      <c r="I43" s="39"/>
      <c r="J43" s="39"/>
      <c r="K43" s="39"/>
    </row>
    <row r="44" spans="1:11" s="102" customFormat="1" ht="31.5" customHeight="1" x14ac:dyDescent="0.25">
      <c r="A44" s="456"/>
      <c r="B44" s="456"/>
      <c r="C44" s="456"/>
      <c r="D44" s="456"/>
      <c r="E44" s="456"/>
      <c r="F44" s="456"/>
      <c r="G44" s="456"/>
      <c r="H44" s="456"/>
      <c r="I44" s="456"/>
      <c r="J44" s="456"/>
      <c r="K44" s="456"/>
    </row>
    <row r="45" spans="1:11" s="102" customFormat="1" ht="42.75" customHeight="1" x14ac:dyDescent="0.25">
      <c r="A45" s="450" t="s">
        <v>17</v>
      </c>
      <c r="B45" s="450"/>
      <c r="C45" s="450"/>
      <c r="D45" s="450"/>
      <c r="E45" s="450"/>
      <c r="F45" s="450"/>
      <c r="G45" s="450"/>
      <c r="H45" s="450"/>
      <c r="I45" s="450"/>
      <c r="J45" s="450"/>
      <c r="K45" s="450"/>
    </row>
    <row r="46" spans="1:11" s="102" customFormat="1" ht="36" x14ac:dyDescent="0.25">
      <c r="A46" s="150" t="s">
        <v>0</v>
      </c>
      <c r="B46" s="150" t="s">
        <v>1</v>
      </c>
      <c r="C46" s="149" t="s">
        <v>12</v>
      </c>
      <c r="D46" s="149" t="s">
        <v>13</v>
      </c>
      <c r="E46" s="150" t="s">
        <v>2</v>
      </c>
      <c r="F46" s="151" t="s">
        <v>3</v>
      </c>
      <c r="G46" s="150" t="s">
        <v>4</v>
      </c>
      <c r="H46" s="155" t="s">
        <v>7</v>
      </c>
      <c r="I46" s="149" t="s">
        <v>14</v>
      </c>
      <c r="J46" s="149" t="s">
        <v>10</v>
      </c>
      <c r="K46" s="149" t="s">
        <v>9</v>
      </c>
    </row>
    <row r="47" spans="1:11" s="114" customFormat="1" ht="40.5" customHeight="1" x14ac:dyDescent="0.25">
      <c r="A47" s="31" t="s">
        <v>26</v>
      </c>
      <c r="B47" s="2" t="s">
        <v>27</v>
      </c>
      <c r="C47" s="32" t="s">
        <v>32</v>
      </c>
      <c r="D47" s="33" t="s">
        <v>31</v>
      </c>
      <c r="E47" s="34" t="s">
        <v>20</v>
      </c>
      <c r="F47" s="182">
        <v>0</v>
      </c>
      <c r="G47" s="182">
        <v>0</v>
      </c>
      <c r="H47" s="21">
        <f>21342+36324+389.2+173051.68+50.73+19570.46+11542.5+10539.92</f>
        <v>272810.49</v>
      </c>
      <c r="I47" s="7" t="s">
        <v>22</v>
      </c>
      <c r="J47" s="7" t="s">
        <v>703</v>
      </c>
      <c r="K47" s="411" t="s">
        <v>288</v>
      </c>
    </row>
    <row r="48" spans="1:11" s="416" customFormat="1" ht="40.5" customHeight="1" x14ac:dyDescent="0.25">
      <c r="A48" s="358" t="s">
        <v>546</v>
      </c>
      <c r="B48" s="416" t="s">
        <v>602</v>
      </c>
      <c r="C48" s="285" t="s">
        <v>154</v>
      </c>
      <c r="D48" s="269"/>
      <c r="E48" s="270"/>
      <c r="F48" s="182">
        <v>0.66669999999999996</v>
      </c>
      <c r="G48" s="182">
        <v>0.66669999999999996</v>
      </c>
      <c r="H48" s="412">
        <f>6840+16713.54+4930.5+3838.38+34627.5</f>
        <v>66949.919999999998</v>
      </c>
      <c r="I48" s="411" t="s">
        <v>22</v>
      </c>
      <c r="J48" s="411" t="s">
        <v>602</v>
      </c>
      <c r="K48" s="411" t="s">
        <v>288</v>
      </c>
    </row>
    <row r="49" spans="1:11" s="416" customFormat="1" ht="40.5" customHeight="1" x14ac:dyDescent="0.25">
      <c r="A49" s="358" t="s">
        <v>719</v>
      </c>
      <c r="B49" s="2" t="s">
        <v>27</v>
      </c>
      <c r="C49" s="1" t="s">
        <v>109</v>
      </c>
      <c r="D49" s="1" t="s">
        <v>141</v>
      </c>
      <c r="E49" s="9" t="s">
        <v>20</v>
      </c>
      <c r="F49" s="182"/>
      <c r="G49" s="182"/>
      <c r="H49" s="412">
        <f>13680*2</f>
        <v>27360</v>
      </c>
      <c r="I49" s="2" t="s">
        <v>22</v>
      </c>
      <c r="J49" s="2" t="s">
        <v>27</v>
      </c>
      <c r="K49" s="19" t="s">
        <v>169</v>
      </c>
    </row>
    <row r="50" spans="1:11" s="416" customFormat="1" ht="40.5" customHeight="1" x14ac:dyDescent="0.25">
      <c r="A50" s="358"/>
      <c r="B50" s="397"/>
      <c r="C50" s="285"/>
      <c r="D50" s="269"/>
      <c r="E50" s="270"/>
      <c r="F50" s="182"/>
      <c r="G50" s="182"/>
      <c r="H50" s="412"/>
      <c r="I50" s="411"/>
      <c r="J50" s="411"/>
      <c r="K50" s="411"/>
    </row>
    <row r="51" spans="1:11" s="46" customFormat="1" ht="41.25" customHeight="1" x14ac:dyDescent="0.25">
      <c r="A51" s="53" t="s">
        <v>6</v>
      </c>
      <c r="B51" s="4"/>
      <c r="C51" s="4"/>
      <c r="D51" s="4"/>
      <c r="E51" s="5"/>
      <c r="F51" s="19"/>
      <c r="G51" s="5"/>
      <c r="H51" s="75">
        <f>SUM(H47:H49)</f>
        <v>367120.41</v>
      </c>
      <c r="I51" s="11"/>
      <c r="J51" s="11"/>
      <c r="K51" s="19"/>
    </row>
    <row r="52" spans="1:11" s="46" customFormat="1" ht="51" customHeight="1" x14ac:dyDescent="0.25">
      <c r="A52" s="457"/>
      <c r="B52" s="457"/>
      <c r="C52" s="457"/>
      <c r="D52" s="457"/>
      <c r="E52" s="457"/>
      <c r="F52" s="457"/>
      <c r="G52" s="457"/>
      <c r="H52" s="457"/>
      <c r="I52" s="457"/>
      <c r="J52" s="457"/>
      <c r="K52" s="457"/>
    </row>
    <row r="53" spans="1:11" s="89" customFormat="1" ht="42.75" customHeight="1" x14ac:dyDescent="0.25">
      <c r="A53" s="452" t="s">
        <v>18</v>
      </c>
      <c r="B53" s="452"/>
      <c r="C53" s="452"/>
      <c r="D53" s="452"/>
      <c r="E53" s="452"/>
      <c r="F53" s="452"/>
      <c r="G53" s="452"/>
      <c r="H53" s="452"/>
      <c r="I53" s="452"/>
      <c r="J53" s="452"/>
      <c r="K53" s="452"/>
    </row>
    <row r="54" spans="1:11" s="50" customFormat="1" ht="55.5" customHeight="1" x14ac:dyDescent="0.25">
      <c r="A54" s="150" t="s">
        <v>0</v>
      </c>
      <c r="B54" s="150" t="s">
        <v>1</v>
      </c>
      <c r="C54" s="149" t="s">
        <v>12</v>
      </c>
      <c r="D54" s="149" t="s">
        <v>13</v>
      </c>
      <c r="E54" s="150" t="s">
        <v>2</v>
      </c>
      <c r="F54" s="151" t="s">
        <v>3</v>
      </c>
      <c r="G54" s="150" t="s">
        <v>4</v>
      </c>
      <c r="H54" s="155" t="s">
        <v>7</v>
      </c>
      <c r="I54" s="149" t="s">
        <v>14</v>
      </c>
      <c r="J54" s="149" t="s">
        <v>10</v>
      </c>
      <c r="K54" s="149" t="s">
        <v>9</v>
      </c>
    </row>
    <row r="55" spans="1:11" s="50" customFormat="1" ht="57" customHeight="1" x14ac:dyDescent="0.25">
      <c r="A55" s="85" t="s">
        <v>34</v>
      </c>
      <c r="B55" s="8" t="s">
        <v>35</v>
      </c>
      <c r="C55" s="68" t="s">
        <v>109</v>
      </c>
      <c r="D55" s="68" t="s">
        <v>141</v>
      </c>
      <c r="E55" s="9" t="s">
        <v>20</v>
      </c>
      <c r="F55" s="478" t="s">
        <v>81</v>
      </c>
      <c r="G55" s="479"/>
      <c r="H55" s="257">
        <f>51330041.1+146022.14</f>
        <v>51476063.240000002</v>
      </c>
      <c r="I55" s="8" t="s">
        <v>35</v>
      </c>
      <c r="J55" s="85" t="s">
        <v>34</v>
      </c>
      <c r="K55" s="2" t="s">
        <v>47</v>
      </c>
    </row>
    <row r="56" spans="1:11" s="50" customFormat="1" ht="39.75" customHeight="1" x14ac:dyDescent="0.25">
      <c r="A56" s="24"/>
      <c r="B56" s="24"/>
      <c r="C56" s="68"/>
      <c r="D56" s="68"/>
      <c r="E56" s="7"/>
      <c r="F56" s="6"/>
      <c r="G56" s="6"/>
      <c r="H56" s="229"/>
      <c r="I56" s="7"/>
      <c r="J56" s="7"/>
      <c r="K56" s="2"/>
    </row>
    <row r="57" spans="1:11" s="46" customFormat="1" ht="41.25" customHeight="1" x14ac:dyDescent="0.25">
      <c r="A57" s="53" t="s">
        <v>6</v>
      </c>
      <c r="B57" s="4"/>
      <c r="C57" s="4"/>
      <c r="D57" s="4"/>
      <c r="E57" s="5"/>
      <c r="F57" s="19"/>
      <c r="G57" s="5"/>
      <c r="H57" s="230">
        <f>SUM(H55:H55)</f>
        <v>51476063.240000002</v>
      </c>
      <c r="I57" s="11"/>
      <c r="J57" s="11"/>
      <c r="K57" s="19"/>
    </row>
    <row r="58" spans="1:11" s="46" customFormat="1" ht="41.25" customHeight="1" x14ac:dyDescent="0.25">
      <c r="A58" s="480"/>
      <c r="B58" s="480"/>
      <c r="C58" s="480"/>
      <c r="D58" s="480"/>
      <c r="E58" s="480"/>
      <c r="F58" s="480"/>
      <c r="G58" s="480"/>
      <c r="H58" s="480"/>
      <c r="I58" s="480"/>
      <c r="J58" s="480"/>
      <c r="K58" s="480"/>
    </row>
    <row r="59" spans="1:11" s="46" customFormat="1" ht="41.25" customHeight="1" x14ac:dyDescent="0.25">
      <c r="A59" s="452" t="s">
        <v>19</v>
      </c>
      <c r="B59" s="452"/>
      <c r="C59" s="452"/>
      <c r="D59" s="452"/>
      <c r="E59" s="452"/>
      <c r="F59" s="452"/>
      <c r="G59" s="452"/>
      <c r="H59" s="452"/>
      <c r="I59" s="452"/>
      <c r="J59" s="452"/>
      <c r="K59" s="452"/>
    </row>
    <row r="60" spans="1:11" s="46" customFormat="1" ht="41.25" customHeight="1" x14ac:dyDescent="0.25">
      <c r="A60" s="150" t="s">
        <v>0</v>
      </c>
      <c r="B60" s="150" t="s">
        <v>1</v>
      </c>
      <c r="C60" s="149" t="s">
        <v>12</v>
      </c>
      <c r="D60" s="149" t="s">
        <v>13</v>
      </c>
      <c r="E60" s="150" t="s">
        <v>2</v>
      </c>
      <c r="F60" s="151" t="s">
        <v>3</v>
      </c>
      <c r="G60" s="150" t="s">
        <v>4</v>
      </c>
      <c r="H60" s="155" t="s">
        <v>7</v>
      </c>
      <c r="I60" s="149" t="s">
        <v>14</v>
      </c>
      <c r="J60" s="149" t="s">
        <v>10</v>
      </c>
      <c r="K60" s="149" t="s">
        <v>9</v>
      </c>
    </row>
    <row r="61" spans="1:11" s="50" customFormat="1" ht="47.25" customHeight="1" x14ac:dyDescent="0.25">
      <c r="A61" s="85" t="s">
        <v>74</v>
      </c>
      <c r="B61" s="74" t="s">
        <v>77</v>
      </c>
      <c r="C61" s="73" t="s">
        <v>109</v>
      </c>
      <c r="D61" s="73" t="s">
        <v>141</v>
      </c>
      <c r="E61" s="9" t="s">
        <v>20</v>
      </c>
      <c r="F61" s="10">
        <v>0</v>
      </c>
      <c r="G61" s="10">
        <v>0</v>
      </c>
      <c r="H61" s="256">
        <v>2631589.04</v>
      </c>
      <c r="I61" s="8" t="s">
        <v>35</v>
      </c>
      <c r="J61" s="74" t="s">
        <v>77</v>
      </c>
      <c r="K61" s="2" t="s">
        <v>78</v>
      </c>
    </row>
    <row r="62" spans="1:11" s="50" customFormat="1" ht="39.75" customHeight="1" x14ac:dyDescent="0.25">
      <c r="A62" s="55"/>
      <c r="B62" s="56"/>
      <c r="C62" s="56"/>
      <c r="D62" s="56"/>
      <c r="E62" s="40"/>
      <c r="F62" s="45"/>
      <c r="G62" s="40"/>
      <c r="H62" s="258"/>
      <c r="I62" s="11"/>
      <c r="J62" s="11"/>
      <c r="K62" s="19"/>
    </row>
    <row r="63" spans="1:11" s="50" customFormat="1" ht="39.75" customHeight="1" x14ac:dyDescent="0.25">
      <c r="A63" s="53" t="s">
        <v>6</v>
      </c>
      <c r="B63" s="56"/>
      <c r="C63" s="56"/>
      <c r="D63" s="56"/>
      <c r="E63" s="40"/>
      <c r="F63" s="45"/>
      <c r="G63" s="40"/>
      <c r="H63" s="258">
        <f>SUM(H61:H62)</f>
        <v>2631589.04</v>
      </c>
      <c r="I63" s="11"/>
      <c r="J63" s="11"/>
      <c r="K63" s="19"/>
    </row>
    <row r="64" spans="1:11" s="50" customFormat="1" ht="39.75" customHeight="1" x14ac:dyDescent="0.25">
      <c r="A64" s="481"/>
      <c r="B64" s="481"/>
      <c r="C64" s="481"/>
      <c r="D64" s="481"/>
      <c r="E64" s="481"/>
      <c r="F64" s="481"/>
      <c r="G64" s="481"/>
      <c r="H64" s="481"/>
      <c r="I64" s="481"/>
      <c r="J64" s="481"/>
      <c r="K64" s="481"/>
    </row>
    <row r="65" spans="1:11" s="114" customFormat="1" ht="42.75" customHeight="1" x14ac:dyDescent="0.25">
      <c r="A65" s="55" t="s">
        <v>8</v>
      </c>
      <c r="B65" s="15"/>
      <c r="C65" s="191"/>
      <c r="D65" s="191"/>
      <c r="E65" s="16"/>
      <c r="F65" s="6"/>
      <c r="G65" s="6"/>
      <c r="H65" s="192">
        <f>+H63+H57+H51+H42+H36+H29</f>
        <v>70102586.140000001</v>
      </c>
      <c r="I65" s="17"/>
      <c r="J65" s="7"/>
      <c r="K65" s="7"/>
    </row>
    <row r="66" spans="1:11" s="50" customFormat="1" ht="29.1" customHeight="1" x14ac:dyDescent="0.25">
      <c r="A66" s="454"/>
      <c r="B66" s="455"/>
      <c r="C66" s="455"/>
      <c r="D66" s="455"/>
      <c r="E66" s="455"/>
      <c r="F66" s="455"/>
      <c r="G66" s="455"/>
      <c r="H66" s="455"/>
      <c r="I66" s="60"/>
      <c r="J66" s="60"/>
      <c r="K66" s="29"/>
    </row>
    <row r="67" spans="1:11" s="50" customFormat="1" ht="49.5" customHeight="1" x14ac:dyDescent="0.25">
      <c r="A67" s="115"/>
      <c r="B67" s="113"/>
      <c r="C67" s="113"/>
      <c r="D67" s="113"/>
      <c r="E67" s="49"/>
      <c r="G67" s="49"/>
      <c r="H67" s="163"/>
      <c r="I67" s="39"/>
      <c r="J67" s="39"/>
    </row>
    <row r="68" spans="1:11" s="50" customFormat="1" ht="49.5" customHeight="1" x14ac:dyDescent="0.25">
      <c r="A68" s="115"/>
      <c r="B68" s="113"/>
      <c r="C68" s="113"/>
      <c r="D68" s="113"/>
      <c r="E68" s="49"/>
      <c r="G68" s="49"/>
      <c r="H68" s="164"/>
      <c r="I68" s="39"/>
      <c r="J68" s="39"/>
    </row>
    <row r="69" spans="1:11" s="50" customFormat="1" ht="49.5" customHeight="1" x14ac:dyDescent="0.25">
      <c r="A69" s="457"/>
      <c r="B69" s="457"/>
      <c r="C69" s="457"/>
      <c r="D69" s="457"/>
      <c r="E69" s="457"/>
      <c r="F69" s="457"/>
      <c r="G69" s="457"/>
      <c r="H69" s="457"/>
      <c r="I69" s="457"/>
      <c r="J69" s="457"/>
      <c r="K69" s="457"/>
    </row>
    <row r="70" spans="1:11" s="50" customFormat="1" x14ac:dyDescent="0.25">
      <c r="A70" s="456"/>
      <c r="B70" s="456"/>
      <c r="C70" s="456"/>
      <c r="D70" s="456"/>
      <c r="E70" s="456"/>
      <c r="F70" s="456"/>
      <c r="G70" s="456"/>
      <c r="H70" s="456"/>
      <c r="I70" s="456"/>
      <c r="J70" s="456"/>
      <c r="K70" s="456"/>
    </row>
    <row r="71" spans="1:11" s="50" customFormat="1" ht="29.1" customHeight="1" x14ac:dyDescent="0.25">
      <c r="A71" s="92"/>
      <c r="B71" s="92"/>
      <c r="C71" s="93"/>
      <c r="D71" s="93"/>
      <c r="E71" s="92"/>
      <c r="F71" s="89"/>
      <c r="G71" s="111"/>
      <c r="H71" s="165"/>
      <c r="I71" s="93"/>
      <c r="J71" s="93"/>
      <c r="K71" s="93"/>
    </row>
    <row r="72" spans="1:11" s="50" customFormat="1" ht="29.1" customHeight="1" x14ac:dyDescent="0.25">
      <c r="A72" s="39"/>
      <c r="B72" s="106"/>
      <c r="C72" s="128"/>
      <c r="D72" s="128"/>
      <c r="E72" s="102"/>
      <c r="F72" s="89"/>
      <c r="G72" s="111"/>
      <c r="H72" s="166"/>
      <c r="I72" s="110"/>
      <c r="J72" s="109"/>
      <c r="K72" s="100"/>
    </row>
    <row r="73" spans="1:11" s="50" customFormat="1" ht="47.25" customHeight="1" x14ac:dyDescent="0.25">
      <c r="A73" s="39"/>
      <c r="B73" s="106"/>
      <c r="C73" s="128"/>
      <c r="D73" s="128"/>
      <c r="E73" s="102"/>
      <c r="F73" s="89"/>
      <c r="G73" s="111"/>
      <c r="H73" s="166"/>
      <c r="I73" s="110"/>
      <c r="J73" s="109"/>
      <c r="K73" s="100"/>
    </row>
    <row r="74" spans="1:11" s="96" customFormat="1" x14ac:dyDescent="0.25">
      <c r="A74" s="113"/>
      <c r="B74" s="113"/>
      <c r="C74" s="113"/>
      <c r="D74" s="113"/>
      <c r="E74" s="49"/>
      <c r="F74" s="105"/>
      <c r="G74" s="105"/>
      <c r="H74" s="160"/>
      <c r="I74" s="113"/>
      <c r="J74" s="39"/>
      <c r="K74" s="50"/>
    </row>
    <row r="75" spans="1:11" s="96" customFormat="1" x14ac:dyDescent="0.25">
      <c r="A75" s="115"/>
      <c r="B75" s="113"/>
      <c r="C75" s="113"/>
      <c r="D75" s="113"/>
      <c r="E75" s="49"/>
      <c r="F75" s="50"/>
      <c r="G75" s="49"/>
      <c r="H75" s="163"/>
      <c r="I75" s="39"/>
      <c r="J75" s="39"/>
      <c r="K75" s="50"/>
    </row>
    <row r="76" spans="1:11" x14ac:dyDescent="0.25">
      <c r="A76" s="121"/>
      <c r="B76" s="113"/>
      <c r="C76" s="113"/>
      <c r="D76" s="113"/>
      <c r="E76" s="49"/>
      <c r="F76" s="50"/>
      <c r="G76" s="49"/>
      <c r="H76" s="167"/>
      <c r="I76" s="39"/>
      <c r="J76" s="39"/>
      <c r="K76" s="50"/>
    </row>
    <row r="77" spans="1:11" x14ac:dyDescent="0.25">
      <c r="A77" s="116"/>
      <c r="B77" s="117"/>
      <c r="C77" s="117"/>
      <c r="D77" s="117"/>
      <c r="E77" s="92"/>
      <c r="F77" s="46"/>
      <c r="G77" s="92"/>
      <c r="H77" s="168"/>
      <c r="I77" s="39"/>
      <c r="J77" s="39"/>
      <c r="K77" s="50"/>
    </row>
    <row r="78" spans="1:11" x14ac:dyDescent="0.25">
      <c r="A78" s="96"/>
      <c r="B78" s="118"/>
      <c r="C78" s="119"/>
      <c r="D78" s="119"/>
      <c r="E78" s="95"/>
      <c r="F78" s="96"/>
      <c r="G78" s="95"/>
      <c r="H78" s="169"/>
      <c r="I78" s="94"/>
      <c r="J78" s="94"/>
      <c r="K78" s="96"/>
    </row>
    <row r="79" spans="1:11" x14ac:dyDescent="0.25">
      <c r="A79" s="474"/>
      <c r="B79" s="474"/>
      <c r="C79" s="474"/>
      <c r="D79" s="474"/>
      <c r="E79" s="474"/>
      <c r="F79" s="474"/>
      <c r="G79" s="474"/>
      <c r="H79" s="474"/>
      <c r="I79" s="94"/>
      <c r="J79" s="94"/>
      <c r="K79" s="96"/>
    </row>
    <row r="82" spans="5:9" x14ac:dyDescent="0.25">
      <c r="E82" s="61"/>
    </row>
    <row r="84" spans="5:9" x14ac:dyDescent="0.25">
      <c r="E84" s="61"/>
      <c r="G84" s="62"/>
      <c r="I84" s="63"/>
    </row>
  </sheetData>
  <mergeCells count="21">
    <mergeCell ref="A69:K69"/>
    <mergeCell ref="A70:K70"/>
    <mergeCell ref="A79:H79"/>
    <mergeCell ref="A66:H66"/>
    <mergeCell ref="F55:G55"/>
    <mergeCell ref="A59:K59"/>
    <mergeCell ref="A58:K58"/>
    <mergeCell ref="A64:K64"/>
    <mergeCell ref="A1:H1"/>
    <mergeCell ref="A8:K8"/>
    <mergeCell ref="A9:K9"/>
    <mergeCell ref="A53:K53"/>
    <mergeCell ref="A11:K11"/>
    <mergeCell ref="A32:K32"/>
    <mergeCell ref="A52:K52"/>
    <mergeCell ref="A31:K31"/>
    <mergeCell ref="A10:K10"/>
    <mergeCell ref="A37:K37"/>
    <mergeCell ref="A38:K38"/>
    <mergeCell ref="A44:K44"/>
    <mergeCell ref="A45:K45"/>
  </mergeCells>
  <pageMargins left="0.7" right="0.7" top="0.75" bottom="0.75" header="0.3" footer="0.3"/>
  <pageSetup paperSize="8" scale="47" orientation="landscape" r:id="rId1"/>
  <rowBreaks count="1" manualBreakCount="1">
    <brk id="3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C40" zoomScale="60" zoomScaleNormal="70" workbookViewId="0">
      <selection activeCell="I45" sqref="I45"/>
    </sheetView>
  </sheetViews>
  <sheetFormatPr defaultRowHeight="18" x14ac:dyDescent="0.25"/>
  <cols>
    <col min="1" max="1" width="40" style="29" customWidth="1"/>
    <col min="2" max="2" width="69.140625" style="60" customWidth="1"/>
    <col min="3" max="3" width="20" style="60" customWidth="1"/>
    <col min="4" max="4" width="15.7109375" style="60" bestFit="1" customWidth="1"/>
    <col min="5" max="5" width="16.85546875" style="59" customWidth="1"/>
    <col min="6" max="6" width="13.140625" style="29" customWidth="1"/>
    <col min="7" max="7" width="12.85546875" style="59" customWidth="1"/>
    <col min="8" max="8" width="23.28515625" style="162" bestFit="1" customWidth="1"/>
    <col min="9" max="9" width="39.7109375" style="60" customWidth="1"/>
    <col min="10" max="10" width="76.140625" style="60" customWidth="1"/>
    <col min="11" max="11" width="21.140625" style="29" customWidth="1"/>
    <col min="12" max="16384" width="9.140625" style="29"/>
  </cols>
  <sheetData>
    <row r="1" spans="1:11" s="27" customFormat="1" x14ac:dyDescent="0.25">
      <c r="A1" s="450"/>
      <c r="B1" s="450"/>
      <c r="C1" s="450"/>
      <c r="D1" s="450"/>
      <c r="E1" s="450"/>
      <c r="F1" s="450"/>
      <c r="G1" s="450"/>
      <c r="H1" s="450"/>
      <c r="I1" s="26"/>
      <c r="J1" s="26"/>
    </row>
    <row r="2" spans="1:11" s="27" customFormat="1" x14ac:dyDescent="0.25">
      <c r="A2" s="186"/>
      <c r="B2" s="186"/>
      <c r="C2" s="186"/>
      <c r="D2" s="186"/>
      <c r="E2" s="186"/>
      <c r="F2" s="186"/>
      <c r="G2" s="186"/>
      <c r="H2" s="153"/>
      <c r="I2" s="26"/>
      <c r="J2" s="26"/>
    </row>
    <row r="3" spans="1:11" s="27" customFormat="1" x14ac:dyDescent="0.25">
      <c r="A3" s="186"/>
      <c r="B3" s="186"/>
      <c r="C3" s="186"/>
      <c r="D3" s="186"/>
      <c r="E3" s="186"/>
      <c r="F3" s="186"/>
      <c r="G3" s="186"/>
      <c r="H3" s="153"/>
      <c r="I3" s="26"/>
      <c r="J3" s="26"/>
    </row>
    <row r="4" spans="1:11" s="27" customFormat="1" x14ac:dyDescent="0.25">
      <c r="A4" s="186"/>
      <c r="B4" s="186"/>
      <c r="C4" s="186"/>
      <c r="D4" s="186"/>
      <c r="E4" s="186"/>
      <c r="F4" s="186"/>
      <c r="G4" s="186"/>
      <c r="H4" s="153"/>
      <c r="I4" s="26"/>
      <c r="J4" s="26"/>
    </row>
    <row r="5" spans="1:11" s="27" customFormat="1" x14ac:dyDescent="0.25">
      <c r="A5" s="186"/>
      <c r="B5" s="186"/>
      <c r="C5" s="186"/>
      <c r="D5" s="186"/>
      <c r="E5" s="186"/>
      <c r="F5" s="186"/>
      <c r="G5" s="186"/>
      <c r="H5" s="153"/>
      <c r="I5" s="26"/>
      <c r="J5" s="26"/>
    </row>
    <row r="6" spans="1:11" s="27" customFormat="1" x14ac:dyDescent="0.25">
      <c r="A6" s="186"/>
      <c r="B6" s="186"/>
      <c r="C6" s="186"/>
      <c r="D6" s="186"/>
      <c r="E6" s="186"/>
      <c r="F6" s="186"/>
      <c r="G6" s="186"/>
      <c r="H6" s="153"/>
      <c r="I6" s="26"/>
      <c r="J6" s="26"/>
    </row>
    <row r="7" spans="1:11" s="27" customFormat="1" x14ac:dyDescent="0.25">
      <c r="A7" s="186"/>
      <c r="B7" s="186"/>
      <c r="C7" s="186"/>
      <c r="D7" s="186"/>
      <c r="E7" s="186"/>
      <c r="F7" s="186"/>
      <c r="G7" s="186"/>
      <c r="H7" s="153"/>
      <c r="I7" s="26"/>
      <c r="J7" s="26"/>
    </row>
    <row r="8" spans="1:11" s="27" customFormat="1" ht="38.25" customHeight="1" x14ac:dyDescent="0.25">
      <c r="A8" s="450"/>
      <c r="B8" s="450"/>
      <c r="C8" s="450"/>
      <c r="D8" s="450"/>
      <c r="E8" s="450"/>
      <c r="F8" s="450"/>
      <c r="G8" s="450"/>
      <c r="H8" s="450"/>
      <c r="I8" s="450"/>
      <c r="J8" s="450"/>
      <c r="K8" s="450"/>
    </row>
    <row r="9" spans="1:11" ht="41.25" customHeight="1" x14ac:dyDescent="0.25">
      <c r="A9" s="451" t="s">
        <v>111</v>
      </c>
      <c r="B9" s="451"/>
      <c r="C9" s="451"/>
      <c r="D9" s="451"/>
      <c r="E9" s="451"/>
      <c r="F9" s="451"/>
      <c r="G9" s="451"/>
      <c r="H9" s="451"/>
      <c r="I9" s="451"/>
      <c r="J9" s="451"/>
      <c r="K9" s="451"/>
    </row>
    <row r="10" spans="1:11" ht="29.1" customHeight="1" x14ac:dyDescent="0.25">
      <c r="A10" s="452"/>
      <c r="B10" s="452"/>
      <c r="C10" s="452"/>
      <c r="D10" s="452"/>
      <c r="E10" s="452"/>
      <c r="F10" s="452"/>
      <c r="G10" s="452"/>
      <c r="H10" s="452"/>
      <c r="I10" s="452"/>
      <c r="J10" s="452"/>
      <c r="K10" s="452"/>
    </row>
    <row r="11" spans="1:11" ht="36.75" customHeight="1" x14ac:dyDescent="0.25">
      <c r="A11" s="452" t="s">
        <v>16</v>
      </c>
      <c r="B11" s="452"/>
      <c r="C11" s="452"/>
      <c r="D11" s="452"/>
      <c r="E11" s="452"/>
      <c r="F11" s="452"/>
      <c r="G11" s="452"/>
      <c r="H11" s="452"/>
      <c r="I11" s="452"/>
      <c r="J11" s="452"/>
      <c r="K11" s="452"/>
    </row>
    <row r="12" spans="1:11" s="96" customFormat="1" ht="60.75" customHeight="1" x14ac:dyDescent="0.25">
      <c r="A12" s="145" t="s">
        <v>0</v>
      </c>
      <c r="B12" s="145" t="s">
        <v>1</v>
      </c>
      <c r="C12" s="146" t="s">
        <v>12</v>
      </c>
      <c r="D12" s="146" t="s">
        <v>13</v>
      </c>
      <c r="E12" s="145" t="s">
        <v>2</v>
      </c>
      <c r="F12" s="147" t="s">
        <v>3</v>
      </c>
      <c r="G12" s="145" t="s">
        <v>4</v>
      </c>
      <c r="H12" s="154" t="s">
        <v>5</v>
      </c>
      <c r="I12" s="149" t="s">
        <v>14</v>
      </c>
      <c r="J12" s="149" t="s">
        <v>10</v>
      </c>
      <c r="K12" s="149" t="s">
        <v>9</v>
      </c>
    </row>
    <row r="13" spans="1:11" s="50" customFormat="1" ht="51.75" customHeight="1" x14ac:dyDescent="0.25">
      <c r="A13" s="24" t="s">
        <v>125</v>
      </c>
      <c r="B13" s="24" t="s">
        <v>123</v>
      </c>
      <c r="C13" s="68" t="s">
        <v>109</v>
      </c>
      <c r="D13" s="68" t="s">
        <v>141</v>
      </c>
      <c r="E13" s="7" t="s">
        <v>20</v>
      </c>
      <c r="F13" s="6">
        <v>0.04</v>
      </c>
      <c r="G13" s="6">
        <v>1</v>
      </c>
      <c r="H13" s="203">
        <f>130815+150313.16</f>
        <v>281128.16000000003</v>
      </c>
      <c r="I13" s="7" t="s">
        <v>122</v>
      </c>
      <c r="J13" s="7" t="s">
        <v>126</v>
      </c>
      <c r="K13" s="7" t="s">
        <v>124</v>
      </c>
    </row>
    <row r="14" spans="1:11" s="416" customFormat="1" ht="72" x14ac:dyDescent="0.25">
      <c r="A14" s="413" t="s">
        <v>554</v>
      </c>
      <c r="B14" s="413" t="s">
        <v>603</v>
      </c>
      <c r="C14" s="393" t="s">
        <v>604</v>
      </c>
      <c r="D14" s="393" t="s">
        <v>605</v>
      </c>
      <c r="E14" s="411" t="s">
        <v>360</v>
      </c>
      <c r="F14" s="410">
        <v>0.16669999999999999</v>
      </c>
      <c r="G14" s="410">
        <v>1</v>
      </c>
      <c r="H14" s="70">
        <f>297500+301624.81+301624.81+762275</f>
        <v>1663024.62</v>
      </c>
      <c r="I14" s="411" t="s">
        <v>122</v>
      </c>
      <c r="J14" s="411" t="s">
        <v>608</v>
      </c>
      <c r="K14" s="411" t="s">
        <v>609</v>
      </c>
    </row>
    <row r="15" spans="1:11" s="416" customFormat="1" ht="72" x14ac:dyDescent="0.25">
      <c r="A15" s="413" t="s">
        <v>555</v>
      </c>
      <c r="B15" s="413" t="s">
        <v>603</v>
      </c>
      <c r="C15" s="393" t="s">
        <v>606</v>
      </c>
      <c r="D15" s="393" t="s">
        <v>607</v>
      </c>
      <c r="E15" s="411" t="s">
        <v>360</v>
      </c>
      <c r="F15" s="410">
        <v>0</v>
      </c>
      <c r="G15" s="410">
        <v>0</v>
      </c>
      <c r="H15" s="70">
        <f>351048.26+521889.54+774527.87+865135.83</f>
        <v>2512601.5</v>
      </c>
      <c r="I15" s="411" t="s">
        <v>122</v>
      </c>
      <c r="J15" s="411" t="s">
        <v>608</v>
      </c>
      <c r="K15" s="411" t="s">
        <v>609</v>
      </c>
    </row>
    <row r="16" spans="1:11" s="416" customFormat="1" ht="54" x14ac:dyDescent="0.25">
      <c r="A16" s="8" t="s">
        <v>651</v>
      </c>
      <c r="B16" s="8" t="s">
        <v>693</v>
      </c>
      <c r="C16" s="42" t="s">
        <v>694</v>
      </c>
      <c r="D16" s="42" t="s">
        <v>695</v>
      </c>
      <c r="E16" s="2" t="s">
        <v>360</v>
      </c>
      <c r="F16" s="10">
        <v>0</v>
      </c>
      <c r="G16" s="10">
        <v>0</v>
      </c>
      <c r="H16" s="71">
        <v>75211.5</v>
      </c>
      <c r="I16" s="2" t="s">
        <v>437</v>
      </c>
      <c r="J16" s="2" t="s">
        <v>696</v>
      </c>
      <c r="K16" s="2" t="s">
        <v>697</v>
      </c>
    </row>
    <row r="17" spans="1:12" s="416" customFormat="1" ht="36" x14ac:dyDescent="0.25">
      <c r="A17" s="413" t="s">
        <v>699</v>
      </c>
      <c r="B17" s="413" t="s">
        <v>710</v>
      </c>
      <c r="C17" s="393" t="s">
        <v>713</v>
      </c>
      <c r="D17" s="393" t="s">
        <v>714</v>
      </c>
      <c r="E17" s="411" t="s">
        <v>360</v>
      </c>
      <c r="F17" s="410">
        <v>1</v>
      </c>
      <c r="G17" s="410">
        <v>1</v>
      </c>
      <c r="H17" s="70">
        <f>58752+159667.2</f>
        <v>218419.20000000001</v>
      </c>
      <c r="I17" s="411" t="s">
        <v>437</v>
      </c>
      <c r="J17" s="411" t="s">
        <v>737</v>
      </c>
      <c r="K17" s="411" t="s">
        <v>709</v>
      </c>
    </row>
    <row r="18" spans="1:12" s="416" customFormat="1" ht="36" x14ac:dyDescent="0.25">
      <c r="A18" s="413" t="s">
        <v>700</v>
      </c>
      <c r="B18" s="413" t="s">
        <v>710</v>
      </c>
      <c r="C18" s="393" t="s">
        <v>711</v>
      </c>
      <c r="D18" s="393" t="s">
        <v>712</v>
      </c>
      <c r="E18" s="411" t="s">
        <v>360</v>
      </c>
      <c r="F18" s="410">
        <v>1</v>
      </c>
      <c r="G18" s="410">
        <v>1</v>
      </c>
      <c r="H18" s="70">
        <f>83066+441911.12</f>
        <v>524977.12</v>
      </c>
      <c r="I18" s="411" t="s">
        <v>437</v>
      </c>
      <c r="J18" s="411" t="s">
        <v>737</v>
      </c>
      <c r="K18" s="411" t="s">
        <v>709</v>
      </c>
    </row>
    <row r="19" spans="1:12" s="416" customFormat="1" ht="36" x14ac:dyDescent="0.25">
      <c r="A19" s="413" t="s">
        <v>725</v>
      </c>
      <c r="B19" s="413" t="s">
        <v>710</v>
      </c>
      <c r="C19" s="393" t="s">
        <v>711</v>
      </c>
      <c r="D19" s="393" t="s">
        <v>712</v>
      </c>
      <c r="E19" s="411" t="s">
        <v>360</v>
      </c>
      <c r="F19" s="410">
        <v>0</v>
      </c>
      <c r="G19" s="410">
        <v>1</v>
      </c>
      <c r="H19" s="70">
        <v>181585.53</v>
      </c>
      <c r="I19" s="411" t="s">
        <v>437</v>
      </c>
      <c r="J19" s="411" t="s">
        <v>737</v>
      </c>
      <c r="K19" s="411" t="s">
        <v>709</v>
      </c>
      <c r="L19" s="438"/>
    </row>
    <row r="20" spans="1:12" s="50" customFormat="1" ht="52.5" customHeight="1" x14ac:dyDescent="0.25">
      <c r="A20" s="53" t="s">
        <v>6</v>
      </c>
      <c r="B20" s="4"/>
      <c r="C20" s="4"/>
      <c r="D20" s="4"/>
      <c r="E20" s="5"/>
      <c r="F20" s="19"/>
      <c r="G20" s="5"/>
      <c r="H20" s="75">
        <f>SUM(H13:H19)</f>
        <v>5456947.6300000008</v>
      </c>
      <c r="I20" s="11"/>
      <c r="J20" s="11"/>
      <c r="K20" s="19"/>
    </row>
    <row r="21" spans="1:12" s="50" customFormat="1" ht="33" customHeight="1" x14ac:dyDescent="0.25">
      <c r="A21" s="460"/>
      <c r="B21" s="460"/>
      <c r="C21" s="460"/>
      <c r="D21" s="460"/>
      <c r="E21" s="460"/>
      <c r="F21" s="460"/>
      <c r="G21" s="460"/>
      <c r="H21" s="460"/>
      <c r="I21" s="460"/>
      <c r="J21" s="460"/>
      <c r="K21" s="460"/>
    </row>
    <row r="22" spans="1:12" s="50" customFormat="1" ht="41.25" customHeight="1" x14ac:dyDescent="0.25">
      <c r="A22" s="458" t="s">
        <v>84</v>
      </c>
      <c r="B22" s="458"/>
      <c r="C22" s="458"/>
      <c r="D22" s="458"/>
      <c r="E22" s="458"/>
      <c r="F22" s="458"/>
      <c r="G22" s="458"/>
      <c r="H22" s="458"/>
      <c r="I22" s="458"/>
      <c r="J22" s="458"/>
      <c r="K22" s="458"/>
    </row>
    <row r="23" spans="1:12" s="50" customFormat="1" ht="36" x14ac:dyDescent="0.25">
      <c r="A23" s="150" t="s">
        <v>0</v>
      </c>
      <c r="B23" s="150" t="s">
        <v>1</v>
      </c>
      <c r="C23" s="149" t="s">
        <v>12</v>
      </c>
      <c r="D23" s="149" t="s">
        <v>13</v>
      </c>
      <c r="E23" s="150" t="s">
        <v>2</v>
      </c>
      <c r="F23" s="151" t="s">
        <v>3</v>
      </c>
      <c r="G23" s="150" t="s">
        <v>4</v>
      </c>
      <c r="H23" s="155" t="s">
        <v>7</v>
      </c>
      <c r="I23" s="149" t="s">
        <v>14</v>
      </c>
      <c r="J23" s="149" t="s">
        <v>10</v>
      </c>
      <c r="K23" s="149" t="s">
        <v>9</v>
      </c>
    </row>
    <row r="24" spans="1:12" s="50" customFormat="1" ht="45.75" customHeight="1" x14ac:dyDescent="0.25">
      <c r="A24" s="31"/>
      <c r="B24" s="2"/>
      <c r="C24" s="80"/>
      <c r="D24" s="80"/>
      <c r="E24" s="16"/>
      <c r="F24" s="6"/>
      <c r="G24" s="6"/>
      <c r="H24" s="12">
        <v>0</v>
      </c>
      <c r="I24" s="17"/>
      <c r="J24" s="22"/>
      <c r="K24" s="7"/>
    </row>
    <row r="25" spans="1:12" s="50" customFormat="1" ht="42" customHeight="1" x14ac:dyDescent="0.25">
      <c r="A25" s="31"/>
      <c r="B25" s="2"/>
      <c r="C25" s="80"/>
      <c r="D25" s="80"/>
      <c r="E25" s="16"/>
      <c r="F25" s="6"/>
      <c r="G25" s="6"/>
      <c r="H25" s="156"/>
      <c r="I25" s="17"/>
      <c r="J25" s="22"/>
      <c r="K25" s="7"/>
    </row>
    <row r="26" spans="1:12" s="135" customFormat="1" ht="39" customHeight="1" x14ac:dyDescent="0.25">
      <c r="A26" s="45" t="s">
        <v>6</v>
      </c>
      <c r="B26" s="30"/>
      <c r="C26" s="30"/>
      <c r="D26" s="30"/>
      <c r="E26" s="40"/>
      <c r="F26" s="45"/>
      <c r="G26" s="40"/>
      <c r="H26" s="158">
        <f>SUM(H24:H25)</f>
        <v>0</v>
      </c>
      <c r="I26" s="11"/>
      <c r="J26" s="11"/>
      <c r="K26" s="11"/>
    </row>
    <row r="27" spans="1:12" s="114" customFormat="1" ht="35.25" customHeight="1" x14ac:dyDescent="0.25">
      <c r="A27" s="456"/>
      <c r="B27" s="456"/>
      <c r="C27" s="456"/>
      <c r="D27" s="456"/>
      <c r="E27" s="456"/>
      <c r="F27" s="456"/>
      <c r="G27" s="456"/>
      <c r="H27" s="456"/>
      <c r="I27" s="456"/>
      <c r="J27" s="456"/>
      <c r="K27" s="456"/>
    </row>
    <row r="28" spans="1:12" s="114" customFormat="1" ht="35.25" customHeight="1" x14ac:dyDescent="0.25">
      <c r="A28" s="456" t="s">
        <v>85</v>
      </c>
      <c r="B28" s="456"/>
      <c r="C28" s="456"/>
      <c r="D28" s="456"/>
      <c r="E28" s="456"/>
      <c r="F28" s="456"/>
      <c r="G28" s="456"/>
      <c r="H28" s="456"/>
      <c r="I28" s="456"/>
      <c r="J28" s="456"/>
      <c r="K28" s="456"/>
    </row>
    <row r="29" spans="1:12" s="114" customFormat="1" ht="36" x14ac:dyDescent="0.25">
      <c r="A29" s="150" t="s">
        <v>0</v>
      </c>
      <c r="B29" s="150" t="s">
        <v>1</v>
      </c>
      <c r="C29" s="149" t="s">
        <v>12</v>
      </c>
      <c r="D29" s="149" t="s">
        <v>13</v>
      </c>
      <c r="E29" s="150" t="s">
        <v>2</v>
      </c>
      <c r="F29" s="151" t="s">
        <v>3</v>
      </c>
      <c r="G29" s="150" t="s">
        <v>4</v>
      </c>
      <c r="H29" s="155" t="s">
        <v>7</v>
      </c>
      <c r="I29" s="149" t="s">
        <v>14</v>
      </c>
      <c r="J29" s="149" t="s">
        <v>10</v>
      </c>
      <c r="K29" s="149" t="s">
        <v>9</v>
      </c>
    </row>
    <row r="30" spans="1:12" s="114" customFormat="1" ht="42" customHeight="1" x14ac:dyDescent="0.25">
      <c r="A30" s="47"/>
      <c r="B30" s="47"/>
      <c r="C30" s="189"/>
      <c r="D30" s="189"/>
      <c r="E30" s="47"/>
      <c r="F30" s="48"/>
      <c r="G30" s="47"/>
      <c r="H30" s="12">
        <v>0</v>
      </c>
      <c r="I30" s="189"/>
      <c r="J30" s="189"/>
      <c r="K30" s="189"/>
    </row>
    <row r="31" spans="1:12" s="114" customFormat="1" ht="42" customHeight="1" x14ac:dyDescent="0.25">
      <c r="A31" s="7"/>
      <c r="B31" s="7"/>
      <c r="C31" s="68"/>
      <c r="D31" s="68"/>
      <c r="E31" s="25"/>
      <c r="F31" s="48"/>
      <c r="G31" s="47"/>
      <c r="H31" s="159"/>
      <c r="I31" s="7"/>
      <c r="J31" s="7"/>
      <c r="K31" s="7"/>
    </row>
    <row r="32" spans="1:12" s="114" customFormat="1" ht="33" customHeight="1" x14ac:dyDescent="0.25">
      <c r="A32" s="45" t="s">
        <v>6</v>
      </c>
      <c r="B32" s="11"/>
      <c r="C32" s="11"/>
      <c r="D32" s="11"/>
      <c r="E32" s="5"/>
      <c r="F32" s="19"/>
      <c r="G32" s="5"/>
      <c r="H32" s="155">
        <f>SUM(H30:H31)</f>
        <v>0</v>
      </c>
      <c r="I32" s="11"/>
      <c r="J32" s="11"/>
      <c r="K32" s="11"/>
    </row>
    <row r="33" spans="1:11" s="102" customFormat="1" x14ac:dyDescent="0.25">
      <c r="A33" s="46"/>
      <c r="B33" s="39"/>
      <c r="C33" s="39"/>
      <c r="D33" s="39"/>
      <c r="E33" s="187"/>
      <c r="F33" s="50"/>
      <c r="G33" s="187"/>
      <c r="H33" s="160"/>
      <c r="I33" s="39"/>
      <c r="J33" s="39"/>
      <c r="K33" s="39"/>
    </row>
    <row r="34" spans="1:11" s="102" customFormat="1" ht="31.5" customHeight="1" x14ac:dyDescent="0.25">
      <c r="A34" s="456"/>
      <c r="B34" s="456"/>
      <c r="C34" s="456"/>
      <c r="D34" s="456"/>
      <c r="E34" s="456"/>
      <c r="F34" s="456"/>
      <c r="G34" s="456"/>
      <c r="H34" s="456"/>
      <c r="I34" s="456"/>
      <c r="J34" s="456"/>
      <c r="K34" s="456"/>
    </row>
    <row r="35" spans="1:11" s="102" customFormat="1" ht="42.75" customHeight="1" x14ac:dyDescent="0.25">
      <c r="A35" s="450" t="s">
        <v>17</v>
      </c>
      <c r="B35" s="450"/>
      <c r="C35" s="450"/>
      <c r="D35" s="450"/>
      <c r="E35" s="450"/>
      <c r="F35" s="450"/>
      <c r="G35" s="450"/>
      <c r="H35" s="450"/>
      <c r="I35" s="450"/>
      <c r="J35" s="450"/>
      <c r="K35" s="450"/>
    </row>
    <row r="36" spans="1:11" s="102" customFormat="1" ht="36" x14ac:dyDescent="0.25">
      <c r="A36" s="150" t="s">
        <v>0</v>
      </c>
      <c r="B36" s="150" t="s">
        <v>1</v>
      </c>
      <c r="C36" s="149" t="s">
        <v>12</v>
      </c>
      <c r="D36" s="149" t="s">
        <v>13</v>
      </c>
      <c r="E36" s="150" t="s">
        <v>2</v>
      </c>
      <c r="F36" s="151" t="s">
        <v>3</v>
      </c>
      <c r="G36" s="150" t="s">
        <v>4</v>
      </c>
      <c r="H36" s="155" t="s">
        <v>7</v>
      </c>
      <c r="I36" s="149" t="s">
        <v>14</v>
      </c>
      <c r="J36" s="149" t="s">
        <v>10</v>
      </c>
      <c r="K36" s="149" t="s">
        <v>9</v>
      </c>
    </row>
    <row r="37" spans="1:11" s="50" customFormat="1" ht="47.25" customHeight="1" x14ac:dyDescent="0.25">
      <c r="A37" s="31" t="s">
        <v>26</v>
      </c>
      <c r="B37" s="2" t="s">
        <v>27</v>
      </c>
      <c r="C37" s="32" t="s">
        <v>32</v>
      </c>
      <c r="D37" s="33" t="s">
        <v>31</v>
      </c>
      <c r="E37" s="34" t="s">
        <v>20</v>
      </c>
      <c r="F37" s="182">
        <v>0</v>
      </c>
      <c r="G37" s="182">
        <v>0</v>
      </c>
      <c r="H37" s="70">
        <f>272745.9-19494</f>
        <v>253251.90000000002</v>
      </c>
      <c r="I37" s="7" t="s">
        <v>22</v>
      </c>
      <c r="J37" s="7" t="s">
        <v>219</v>
      </c>
      <c r="K37" s="19" t="s">
        <v>169</v>
      </c>
    </row>
    <row r="38" spans="1:11" s="96" customFormat="1" ht="34.5" customHeight="1" x14ac:dyDescent="0.25">
      <c r="A38" s="24"/>
      <c r="B38" s="24"/>
      <c r="C38" s="68"/>
      <c r="D38" s="68"/>
      <c r="E38" s="7"/>
      <c r="F38" s="87"/>
      <c r="G38" s="87"/>
      <c r="H38" s="70" t="s">
        <v>15</v>
      </c>
      <c r="I38" s="7"/>
      <c r="J38" s="7"/>
      <c r="K38" s="7"/>
    </row>
    <row r="39" spans="1:11" ht="34.5" customHeight="1" x14ac:dyDescent="0.25">
      <c r="A39" s="53" t="s">
        <v>6</v>
      </c>
      <c r="B39" s="4"/>
      <c r="C39" s="4"/>
      <c r="D39" s="4"/>
      <c r="E39" s="5"/>
      <c r="F39" s="19"/>
      <c r="G39" s="5"/>
      <c r="H39" s="75">
        <f>SUM(H37:H38)</f>
        <v>253251.90000000002</v>
      </c>
      <c r="I39" s="11"/>
      <c r="J39" s="11"/>
      <c r="K39" s="19"/>
    </row>
    <row r="40" spans="1:11" s="46" customFormat="1" ht="51" customHeight="1" x14ac:dyDescent="0.25">
      <c r="A40" s="457"/>
      <c r="B40" s="457"/>
      <c r="C40" s="457"/>
      <c r="D40" s="457"/>
      <c r="E40" s="457"/>
      <c r="F40" s="457"/>
      <c r="G40" s="457"/>
      <c r="H40" s="457"/>
      <c r="I40" s="457"/>
      <c r="J40" s="457"/>
      <c r="K40" s="457"/>
    </row>
    <row r="41" spans="1:11" s="89" customFormat="1" ht="42.75" customHeight="1" x14ac:dyDescent="0.25">
      <c r="A41" s="452" t="s">
        <v>18</v>
      </c>
      <c r="B41" s="452"/>
      <c r="C41" s="452"/>
      <c r="D41" s="452"/>
      <c r="E41" s="452"/>
      <c r="F41" s="452"/>
      <c r="G41" s="452"/>
      <c r="H41" s="452"/>
      <c r="I41" s="452"/>
      <c r="J41" s="452"/>
      <c r="K41" s="452"/>
    </row>
    <row r="42" spans="1:11" s="50" customFormat="1" ht="55.5" customHeight="1" x14ac:dyDescent="0.25">
      <c r="A42" s="150" t="s">
        <v>0</v>
      </c>
      <c r="B42" s="150" t="s">
        <v>1</v>
      </c>
      <c r="C42" s="149" t="s">
        <v>12</v>
      </c>
      <c r="D42" s="149" t="s">
        <v>13</v>
      </c>
      <c r="E42" s="150" t="s">
        <v>2</v>
      </c>
      <c r="F42" s="151" t="s">
        <v>3</v>
      </c>
      <c r="G42" s="150" t="s">
        <v>4</v>
      </c>
      <c r="H42" s="155" t="s">
        <v>7</v>
      </c>
      <c r="I42" s="149" t="s">
        <v>14</v>
      </c>
      <c r="J42" s="149" t="s">
        <v>10</v>
      </c>
      <c r="K42" s="149" t="s">
        <v>9</v>
      </c>
    </row>
    <row r="43" spans="1:11" s="50" customFormat="1" ht="57" customHeight="1" x14ac:dyDescent="0.25">
      <c r="A43" s="85" t="s">
        <v>69</v>
      </c>
      <c r="B43" s="8" t="s">
        <v>151</v>
      </c>
      <c r="C43" s="68" t="s">
        <v>109</v>
      </c>
      <c r="D43" s="68" t="s">
        <v>141</v>
      </c>
      <c r="E43" s="9" t="s">
        <v>20</v>
      </c>
      <c r="F43" s="478"/>
      <c r="G43" s="479"/>
      <c r="H43" s="70">
        <v>9702</v>
      </c>
      <c r="I43" s="8" t="s">
        <v>151</v>
      </c>
      <c r="J43" s="85" t="s">
        <v>152</v>
      </c>
      <c r="K43" s="2" t="s">
        <v>65</v>
      </c>
    </row>
    <row r="44" spans="1:11" s="50" customFormat="1" ht="39.75" customHeight="1" x14ac:dyDescent="0.25">
      <c r="A44" s="24" t="s">
        <v>414</v>
      </c>
      <c r="B44" s="24" t="s">
        <v>295</v>
      </c>
      <c r="C44" s="68" t="s">
        <v>164</v>
      </c>
      <c r="D44" s="68"/>
      <c r="E44" s="7"/>
      <c r="F44" s="6"/>
      <c r="G44" s="6"/>
      <c r="H44" s="70">
        <v>23108.35</v>
      </c>
      <c r="I44" s="7" t="s">
        <v>738</v>
      </c>
      <c r="J44" s="7" t="s">
        <v>715</v>
      </c>
      <c r="K44" s="2" t="s">
        <v>716</v>
      </c>
    </row>
    <row r="45" spans="1:11" s="46" customFormat="1" ht="41.25" customHeight="1" x14ac:dyDescent="0.25">
      <c r="A45" s="53" t="s">
        <v>6</v>
      </c>
      <c r="B45" s="4"/>
      <c r="C45" s="4"/>
      <c r="D45" s="4"/>
      <c r="E45" s="5"/>
      <c r="F45" s="19"/>
      <c r="G45" s="5"/>
      <c r="H45" s="70">
        <f>SUM(H43:H44)</f>
        <v>32810.35</v>
      </c>
      <c r="I45" s="11"/>
      <c r="J45" s="11"/>
      <c r="K45" s="19"/>
    </row>
    <row r="46" spans="1:11" s="46" customFormat="1" ht="41.25" customHeight="1" x14ac:dyDescent="0.25">
      <c r="A46" s="480"/>
      <c r="B46" s="480"/>
      <c r="C46" s="480"/>
      <c r="D46" s="480"/>
      <c r="E46" s="480"/>
      <c r="F46" s="480"/>
      <c r="G46" s="480"/>
      <c r="H46" s="480"/>
      <c r="I46" s="480"/>
      <c r="J46" s="480"/>
      <c r="K46" s="480"/>
    </row>
    <row r="47" spans="1:11" s="46" customFormat="1" ht="41.25" customHeight="1" x14ac:dyDescent="0.25">
      <c r="A47" s="452" t="s">
        <v>19</v>
      </c>
      <c r="B47" s="452"/>
      <c r="C47" s="452"/>
      <c r="D47" s="452"/>
      <c r="E47" s="452"/>
      <c r="F47" s="452"/>
      <c r="G47" s="452"/>
      <c r="H47" s="452"/>
      <c r="I47" s="452"/>
      <c r="J47" s="452"/>
      <c r="K47" s="452"/>
    </row>
    <row r="48" spans="1:11" s="46" customFormat="1" ht="41.25" customHeight="1" x14ac:dyDescent="0.25">
      <c r="A48" s="150" t="s">
        <v>0</v>
      </c>
      <c r="B48" s="150" t="s">
        <v>1</v>
      </c>
      <c r="C48" s="149" t="s">
        <v>12</v>
      </c>
      <c r="D48" s="149" t="s">
        <v>13</v>
      </c>
      <c r="E48" s="150" t="s">
        <v>2</v>
      </c>
      <c r="F48" s="151" t="s">
        <v>3</v>
      </c>
      <c r="G48" s="150" t="s">
        <v>4</v>
      </c>
      <c r="H48" s="155" t="s">
        <v>7</v>
      </c>
      <c r="I48" s="149" t="s">
        <v>14</v>
      </c>
      <c r="J48" s="149" t="s">
        <v>10</v>
      </c>
      <c r="K48" s="149" t="s">
        <v>9</v>
      </c>
    </row>
    <row r="49" spans="1:11" s="89" customFormat="1" ht="41.25" customHeight="1" x14ac:dyDescent="0.25">
      <c r="A49" s="47"/>
      <c r="B49" s="47"/>
      <c r="C49" s="189"/>
      <c r="D49" s="189"/>
      <c r="E49" s="47"/>
      <c r="F49" s="48"/>
      <c r="G49" s="47"/>
      <c r="H49" s="70">
        <v>0</v>
      </c>
      <c r="I49" s="189"/>
      <c r="J49" s="189"/>
      <c r="K49" s="189"/>
    </row>
    <row r="50" spans="1:11" s="50" customFormat="1" ht="39.75" customHeight="1" x14ac:dyDescent="0.25">
      <c r="A50" s="55"/>
      <c r="B50" s="56"/>
      <c r="C50" s="56"/>
      <c r="D50" s="56"/>
      <c r="E50" s="40"/>
      <c r="F50" s="45"/>
      <c r="G50" s="40"/>
      <c r="H50" s="161"/>
      <c r="I50" s="11"/>
      <c r="J50" s="11"/>
      <c r="K50" s="19"/>
    </row>
    <row r="51" spans="1:11" s="50" customFormat="1" ht="39.75" customHeight="1" x14ac:dyDescent="0.25">
      <c r="A51" s="53" t="s">
        <v>6</v>
      </c>
      <c r="B51" s="56"/>
      <c r="C51" s="56"/>
      <c r="D51" s="56"/>
      <c r="E51" s="40"/>
      <c r="F51" s="45"/>
      <c r="G51" s="40"/>
      <c r="H51" s="161">
        <f>SUM(H49:H50)</f>
        <v>0</v>
      </c>
      <c r="I51" s="11"/>
      <c r="J51" s="11"/>
      <c r="K51" s="19"/>
    </row>
    <row r="52" spans="1:11" s="50" customFormat="1" ht="29.1" customHeight="1" x14ac:dyDescent="0.25">
      <c r="A52" s="116"/>
      <c r="B52" s="117"/>
      <c r="C52" s="117"/>
      <c r="D52" s="117"/>
      <c r="E52" s="185"/>
      <c r="F52" s="46"/>
      <c r="G52" s="185"/>
      <c r="H52" s="164"/>
      <c r="I52" s="39"/>
      <c r="J52" s="39"/>
    </row>
    <row r="53" spans="1:11" s="114" customFormat="1" ht="42.75" customHeight="1" x14ac:dyDescent="0.25">
      <c r="A53" s="55" t="s">
        <v>8</v>
      </c>
      <c r="B53" s="15"/>
      <c r="C53" s="191"/>
      <c r="D53" s="191"/>
      <c r="E53" s="16"/>
      <c r="F53" s="6"/>
      <c r="G53" s="6"/>
      <c r="H53" s="192">
        <f>+H51+H45+H39+H32+H26+H20</f>
        <v>5743009.8800000008</v>
      </c>
      <c r="I53" s="17"/>
      <c r="J53" s="7"/>
      <c r="K53" s="7"/>
    </row>
    <row r="54" spans="1:11" s="50" customFormat="1" ht="29.1" customHeight="1" x14ac:dyDescent="0.25">
      <c r="A54" s="454"/>
      <c r="B54" s="455"/>
      <c r="C54" s="455"/>
      <c r="D54" s="455"/>
      <c r="E54" s="455"/>
      <c r="F54" s="455"/>
      <c r="G54" s="455"/>
      <c r="H54" s="455"/>
      <c r="I54" s="60"/>
      <c r="J54" s="60"/>
      <c r="K54" s="29"/>
    </row>
    <row r="55" spans="1:11" s="50" customFormat="1" ht="49.5" customHeight="1" x14ac:dyDescent="0.25">
      <c r="A55" s="115"/>
      <c r="B55" s="113"/>
      <c r="C55" s="113"/>
      <c r="D55" s="113"/>
      <c r="E55" s="187"/>
      <c r="G55" s="187"/>
      <c r="H55" s="163"/>
      <c r="I55" s="39"/>
      <c r="J55" s="39"/>
    </row>
    <row r="56" spans="1:11" s="50" customFormat="1" ht="49.5" customHeight="1" x14ac:dyDescent="0.25">
      <c r="A56" s="115"/>
      <c r="B56" s="113"/>
      <c r="C56" s="113"/>
      <c r="D56" s="113"/>
      <c r="E56" s="187"/>
      <c r="G56" s="187"/>
      <c r="H56" s="164"/>
      <c r="I56" s="39"/>
      <c r="J56" s="39"/>
    </row>
    <row r="57" spans="1:11" s="50" customFormat="1" ht="49.5" customHeight="1" x14ac:dyDescent="0.25">
      <c r="A57" s="457"/>
      <c r="B57" s="457"/>
      <c r="C57" s="457"/>
      <c r="D57" s="457"/>
      <c r="E57" s="457"/>
      <c r="F57" s="457"/>
      <c r="G57" s="457"/>
      <c r="H57" s="457"/>
      <c r="I57" s="457"/>
      <c r="J57" s="457"/>
      <c r="K57" s="457"/>
    </row>
    <row r="58" spans="1:11" s="50" customFormat="1" x14ac:dyDescent="0.25">
      <c r="A58" s="456"/>
      <c r="B58" s="456"/>
      <c r="C58" s="456"/>
      <c r="D58" s="456"/>
      <c r="E58" s="456"/>
      <c r="F58" s="456"/>
      <c r="G58" s="456"/>
      <c r="H58" s="456"/>
      <c r="I58" s="456"/>
      <c r="J58" s="456"/>
      <c r="K58" s="456"/>
    </row>
    <row r="59" spans="1:11" s="50" customFormat="1" ht="29.1" customHeight="1" x14ac:dyDescent="0.25">
      <c r="A59" s="185"/>
      <c r="B59" s="185"/>
      <c r="C59" s="93"/>
      <c r="D59" s="93"/>
      <c r="E59" s="185"/>
      <c r="F59" s="89"/>
      <c r="G59" s="111"/>
      <c r="H59" s="165"/>
      <c r="I59" s="93"/>
      <c r="J59" s="93"/>
      <c r="K59" s="93"/>
    </row>
    <row r="60" spans="1:11" s="50" customFormat="1" ht="29.1" customHeight="1" x14ac:dyDescent="0.25">
      <c r="A60" s="39"/>
      <c r="B60" s="106"/>
      <c r="C60" s="128"/>
      <c r="D60" s="128"/>
      <c r="E60" s="102"/>
      <c r="F60" s="89"/>
      <c r="G60" s="111"/>
      <c r="H60" s="166"/>
      <c r="I60" s="110"/>
      <c r="J60" s="109"/>
      <c r="K60" s="100"/>
    </row>
    <row r="61" spans="1:11" s="50" customFormat="1" ht="47.25" customHeight="1" x14ac:dyDescent="0.25">
      <c r="A61" s="39"/>
      <c r="B61" s="106"/>
      <c r="C61" s="128"/>
      <c r="D61" s="128"/>
      <c r="E61" s="102"/>
      <c r="F61" s="89"/>
      <c r="G61" s="111"/>
      <c r="H61" s="166"/>
      <c r="I61" s="110"/>
      <c r="J61" s="109"/>
      <c r="K61" s="100"/>
    </row>
    <row r="62" spans="1:11" s="96" customFormat="1" x14ac:dyDescent="0.25">
      <c r="A62" s="113"/>
      <c r="B62" s="113"/>
      <c r="C62" s="113"/>
      <c r="D62" s="113"/>
      <c r="E62" s="187"/>
      <c r="F62" s="105"/>
      <c r="G62" s="105"/>
      <c r="H62" s="160"/>
      <c r="I62" s="113"/>
      <c r="J62" s="39"/>
      <c r="K62" s="50"/>
    </row>
    <row r="63" spans="1:11" s="96" customFormat="1" x14ac:dyDescent="0.25">
      <c r="A63" s="115"/>
      <c r="B63" s="113"/>
      <c r="C63" s="113"/>
      <c r="D63" s="113"/>
      <c r="E63" s="187"/>
      <c r="F63" s="50"/>
      <c r="G63" s="187"/>
      <c r="H63" s="163"/>
      <c r="I63" s="39"/>
      <c r="J63" s="39"/>
      <c r="K63" s="50"/>
    </row>
    <row r="64" spans="1:11" x14ac:dyDescent="0.25">
      <c r="A64" s="121"/>
      <c r="B64" s="113"/>
      <c r="C64" s="113"/>
      <c r="D64" s="113"/>
      <c r="E64" s="187"/>
      <c r="F64" s="50"/>
      <c r="G64" s="187"/>
      <c r="H64" s="167"/>
      <c r="I64" s="39"/>
      <c r="J64" s="39"/>
      <c r="K64" s="50"/>
    </row>
    <row r="65" spans="1:11" x14ac:dyDescent="0.25">
      <c r="A65" s="116"/>
      <c r="B65" s="117"/>
      <c r="C65" s="117"/>
      <c r="D65" s="117"/>
      <c r="E65" s="185"/>
      <c r="F65" s="46"/>
      <c r="G65" s="185"/>
      <c r="H65" s="168"/>
      <c r="I65" s="39"/>
      <c r="J65" s="39"/>
      <c r="K65" s="50"/>
    </row>
    <row r="66" spans="1:11" x14ac:dyDescent="0.25">
      <c r="A66" s="96"/>
      <c r="B66" s="118"/>
      <c r="C66" s="119"/>
      <c r="D66" s="119"/>
      <c r="E66" s="95"/>
      <c r="F66" s="96"/>
      <c r="G66" s="95"/>
      <c r="H66" s="169"/>
      <c r="I66" s="94"/>
      <c r="J66" s="94"/>
      <c r="K66" s="96"/>
    </row>
    <row r="67" spans="1:11" x14ac:dyDescent="0.25">
      <c r="A67" s="474"/>
      <c r="B67" s="474"/>
      <c r="C67" s="474"/>
      <c r="D67" s="474"/>
      <c r="E67" s="474"/>
      <c r="F67" s="474"/>
      <c r="G67" s="474"/>
      <c r="H67" s="474"/>
      <c r="I67" s="94"/>
      <c r="J67" s="94"/>
      <c r="K67" s="96"/>
    </row>
    <row r="70" spans="1:11" s="60" customFormat="1" x14ac:dyDescent="0.25">
      <c r="A70" s="29"/>
      <c r="E70" s="61"/>
      <c r="F70" s="29"/>
      <c r="G70" s="59"/>
      <c r="H70" s="162"/>
      <c r="K70" s="29"/>
    </row>
    <row r="72" spans="1:11" s="60" customFormat="1" x14ac:dyDescent="0.25">
      <c r="A72" s="29"/>
      <c r="E72" s="61"/>
      <c r="F72" s="29"/>
      <c r="G72" s="62"/>
      <c r="H72" s="162"/>
      <c r="I72" s="63"/>
      <c r="K72" s="29"/>
    </row>
  </sheetData>
  <mergeCells count="20">
    <mergeCell ref="A40:K40"/>
    <mergeCell ref="A1:H1"/>
    <mergeCell ref="A8:K8"/>
    <mergeCell ref="A9:K9"/>
    <mergeCell ref="A10:K10"/>
    <mergeCell ref="A11:K11"/>
    <mergeCell ref="A21:K21"/>
    <mergeCell ref="A22:K22"/>
    <mergeCell ref="A27:K27"/>
    <mergeCell ref="A28:K28"/>
    <mergeCell ref="A34:K34"/>
    <mergeCell ref="A35:K35"/>
    <mergeCell ref="A58:K58"/>
    <mergeCell ref="A67:H67"/>
    <mergeCell ref="A41:K41"/>
    <mergeCell ref="F43:G43"/>
    <mergeCell ref="A46:K46"/>
    <mergeCell ref="A47:K47"/>
    <mergeCell ref="A54:H54"/>
    <mergeCell ref="A57:K57"/>
  </mergeCells>
  <pageMargins left="0.7" right="0.7" top="0.75" bottom="0.75" header="0.3" footer="0.3"/>
  <pageSetup paperSize="8" scale="51" orientation="landscape" r:id="rId1"/>
  <rowBreaks count="1" manualBreakCount="1">
    <brk id="26"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Summary</vt:lpstr>
      <vt:lpstr>Prog 1-Administration</vt:lpstr>
      <vt:lpstr>Prog 2-Legal, Auth &amp; Compl</vt:lpstr>
      <vt:lpstr>Prog 3-Ocean &amp;Coasts</vt:lpstr>
      <vt:lpstr>Prog4-Climate Chng&amp;Air Quality </vt:lpstr>
      <vt:lpstr>Prog5-Bioderv&amp;Conservation</vt:lpstr>
      <vt:lpstr>Prog6-Environmental Programmes</vt:lpstr>
      <vt:lpstr>Prog7-Chemica&amp;Waste</vt:lpstr>
      <vt:lpstr>Sheet1</vt:lpstr>
      <vt:lpstr>'Prog 1-Administration'!Print_Area</vt:lpstr>
      <vt:lpstr>'Prog4-Climate Chng&amp;Air Quality '!Print_Area</vt:lpstr>
      <vt:lpstr>'Prog5-Bioderv&amp;Conservation'!Print_Area</vt:lpstr>
      <vt:lpstr>'Prog6-Environmental Programmes'!Print_Area</vt:lpstr>
      <vt:lpstr>'Prog7-Chemica&amp;Waste'!Print_Area</vt:lpstr>
      <vt:lpstr>Summary!Print_Area</vt:lpstr>
      <vt:lpstr>'Prog 1-Administration'!Print_Titles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TCarrol</dc:creator>
  <cp:lastModifiedBy>Veronica Steyn</cp:lastModifiedBy>
  <cp:lastPrinted>2015-05-07T08:10:42Z</cp:lastPrinted>
  <dcterms:created xsi:type="dcterms:W3CDTF">2010-10-04T11:36:55Z</dcterms:created>
  <dcterms:modified xsi:type="dcterms:W3CDTF">2016-02-08T10:05:10Z</dcterms:modified>
</cp:coreProperties>
</file>