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drive.parliament.gov.za/alfresco/webdav/Sites/house-plenary/documentLibrary/Questions/2016/Replies/4TH Quarter Executive Replies/8 December 2016/"/>
    </mc:Choice>
  </mc:AlternateContent>
  <bookViews>
    <workbookView xWindow="0" yWindow="0" windowWidth="20490" windowHeight="7155"/>
  </bookViews>
  <sheets>
    <sheet name="Table 1" sheetId="81" r:id="rId1"/>
  </sheets>
  <externalReferences>
    <externalReference r:id="rId2"/>
    <externalReference r:id="rId3"/>
  </externalReferences>
  <definedNames>
    <definedName name="AAP" localSheetId="0">#REF!</definedName>
    <definedName name="AAP">#REF!</definedName>
    <definedName name="dap" localSheetId="0">'[1]FTE students of 1998 (uni)'!$A$2:$I$9</definedName>
    <definedName name="dap">'[2]FTE students of 1998 (uni)'!$A$2:$I$9</definedName>
    <definedName name="dgg">#REF!</definedName>
    <definedName name="et">#REF!</definedName>
    <definedName name="FundingReport28092005135842Adj" localSheetId="0">#REF!</definedName>
    <definedName name="FundingReport28092005135842Adj">#REF!</definedName>
    <definedName name="ghgh">#REF!</definedName>
    <definedName name="III">#REF!</definedName>
    <definedName name="list" localSheetId="0">#REF!</definedName>
    <definedName name="list">#REF!</definedName>
    <definedName name="List2" localSheetId="0">#REF!</definedName>
    <definedName name="List2">#REF!</definedName>
    <definedName name="List3" localSheetId="0">#REF!</definedName>
    <definedName name="List3">#REF!</definedName>
    <definedName name="list4">#REF!</definedName>
    <definedName name="ll">#REF!</definedName>
    <definedName name="merge">#REF!</definedName>
    <definedName name="PhD">#REF!</definedName>
    <definedName name="_xlnm.Print_Area" localSheetId="0">'Table 1'!$A$2:$R$37</definedName>
  </definedNames>
  <calcPr calcId="162913"/>
</workbook>
</file>

<file path=xl/calcChain.xml><?xml version="1.0" encoding="utf-8"?>
<calcChain xmlns="http://schemas.openxmlformats.org/spreadsheetml/2006/main">
  <c r="N31" i="81" l="1"/>
  <c r="M31" i="81"/>
  <c r="N14" i="81"/>
  <c r="R25" i="81"/>
  <c r="M35" i="81" l="1"/>
  <c r="N35" i="81"/>
  <c r="L35" i="81"/>
  <c r="M30" i="81"/>
  <c r="N30" i="81"/>
  <c r="L30" i="81"/>
  <c r="K30" i="81"/>
  <c r="Q35" i="81" l="1"/>
  <c r="R35" i="81"/>
  <c r="R37" i="81" l="1"/>
  <c r="Q37" i="81"/>
  <c r="K37" i="81"/>
  <c r="P37" i="81" s="1"/>
  <c r="J37" i="81"/>
  <c r="I37" i="81"/>
  <c r="H37" i="81"/>
  <c r="G37" i="81"/>
  <c r="F37" i="81"/>
  <c r="E37" i="81"/>
  <c r="R34" i="81"/>
  <c r="Q34" i="81"/>
  <c r="P34" i="81"/>
  <c r="O34" i="81"/>
  <c r="R26" i="81"/>
  <c r="Q26" i="81"/>
  <c r="K26" i="81"/>
  <c r="P26" i="81" s="1"/>
  <c r="Q28" i="81"/>
  <c r="P28" i="81"/>
  <c r="O28" i="81"/>
  <c r="R36" i="81"/>
  <c r="Q36" i="81"/>
  <c r="R33" i="81"/>
  <c r="Q33" i="81"/>
  <c r="O24" i="81"/>
  <c r="N24" i="81"/>
  <c r="M24" i="81"/>
  <c r="L24" i="81"/>
  <c r="P24" i="81" s="1"/>
  <c r="R17" i="81"/>
  <c r="Q17" i="81"/>
  <c r="P16" i="81"/>
  <c r="O16" i="81"/>
  <c r="R15" i="81"/>
  <c r="Q15" i="81"/>
  <c r="P15" i="81"/>
  <c r="O15" i="81"/>
  <c r="R14" i="81"/>
  <c r="Q14" i="81"/>
  <c r="P14" i="81"/>
  <c r="O14" i="81"/>
  <c r="R23" i="81"/>
  <c r="L23" i="81"/>
  <c r="Q23" i="81" s="1"/>
  <c r="R31" i="81"/>
  <c r="Q31" i="81"/>
  <c r="P31" i="81"/>
  <c r="O31" i="81"/>
  <c r="H31" i="81"/>
  <c r="G31" i="81"/>
  <c r="G11" i="81" s="1"/>
  <c r="F31" i="81"/>
  <c r="F11" i="81" s="1"/>
  <c r="E31" i="81"/>
  <c r="E11" i="81" s="1"/>
  <c r="J30" i="81"/>
  <c r="R18" i="81"/>
  <c r="O18" i="81"/>
  <c r="L18" i="81"/>
  <c r="Q18" i="81" s="1"/>
  <c r="R22" i="81"/>
  <c r="Q22" i="81"/>
  <c r="P22" i="81"/>
  <c r="O22" i="81"/>
  <c r="O19" i="81"/>
  <c r="M19" i="81"/>
  <c r="R19" i="81" s="1"/>
  <c r="L19" i="81"/>
  <c r="O20" i="81"/>
  <c r="M20" i="81"/>
  <c r="L20" i="81"/>
  <c r="P20" i="81" s="1"/>
  <c r="R12" i="81"/>
  <c r="Q12" i="81"/>
  <c r="P12" i="81"/>
  <c r="O12" i="81"/>
  <c r="H12" i="81"/>
  <c r="J11" i="81"/>
  <c r="I11" i="81"/>
  <c r="R10" i="81"/>
  <c r="L10" i="81"/>
  <c r="K10" i="81"/>
  <c r="O10" i="81" s="1"/>
  <c r="R9" i="81"/>
  <c r="Q9" i="81"/>
  <c r="P9" i="81"/>
  <c r="O9" i="81"/>
  <c r="O8" i="81"/>
  <c r="L8" i="81"/>
  <c r="P8" i="81" s="1"/>
  <c r="E8" i="81"/>
  <c r="M7" i="81"/>
  <c r="Q7" i="81" s="1"/>
  <c r="K7" i="81"/>
  <c r="E7" i="81"/>
  <c r="J6" i="81"/>
  <c r="Y8" i="81" s="1"/>
  <c r="I6" i="81"/>
  <c r="X10" i="81" s="1"/>
  <c r="H6" i="81"/>
  <c r="W10" i="81" s="1"/>
  <c r="G6" i="81"/>
  <c r="V9" i="81" s="1"/>
  <c r="F6" i="81"/>
  <c r="U10" i="81" s="1"/>
  <c r="K11" i="81" l="1"/>
  <c r="O11" i="81" s="1"/>
  <c r="K6" i="81"/>
  <c r="N6" i="81"/>
  <c r="Q19" i="81"/>
  <c r="M6" i="81"/>
  <c r="P18" i="81"/>
  <c r="P30" i="81"/>
  <c r="R24" i="81"/>
  <c r="M11" i="81"/>
  <c r="R30" i="81"/>
  <c r="O26" i="81"/>
  <c r="W9" i="81"/>
  <c r="W14" i="81" s="1"/>
  <c r="O30" i="81"/>
  <c r="Q24" i="81"/>
  <c r="O37" i="81"/>
  <c r="X9" i="81"/>
  <c r="X14" i="81" s="1"/>
  <c r="E6" i="81"/>
  <c r="O7" i="81"/>
  <c r="X8" i="81"/>
  <c r="N11" i="81"/>
  <c r="P19" i="81"/>
  <c r="Q30" i="81"/>
  <c r="X7" i="81"/>
  <c r="H11" i="81"/>
  <c r="R8" i="81"/>
  <c r="Q20" i="81"/>
  <c r="U7" i="81"/>
  <c r="U8" i="81"/>
  <c r="Y10" i="81"/>
  <c r="R20" i="81"/>
  <c r="L6" i="81"/>
  <c r="L41" i="81" s="1"/>
  <c r="P7" i="81"/>
  <c r="V7" i="81"/>
  <c r="V8" i="81"/>
  <c r="U9" i="81"/>
  <c r="U14" i="81" s="1"/>
  <c r="Y9" i="81"/>
  <c r="P10" i="81"/>
  <c r="V10" i="81"/>
  <c r="V14" i="81" s="1"/>
  <c r="R7" i="81"/>
  <c r="Y7" i="81"/>
  <c r="L11" i="81"/>
  <c r="W7" i="81"/>
  <c r="Q8" i="81"/>
  <c r="W8" i="81"/>
  <c r="Q10" i="81"/>
  <c r="P11" i="81" l="1"/>
  <c r="AC10" i="81"/>
  <c r="N41" i="81"/>
  <c r="N43" i="81" s="1"/>
  <c r="Z10" i="81"/>
  <c r="K41" i="81"/>
  <c r="M41" i="81"/>
  <c r="M43" i="81" s="1"/>
  <c r="AC8" i="81"/>
  <c r="Z7" i="81"/>
  <c r="O6" i="81"/>
  <c r="Y14" i="81"/>
  <c r="Z9" i="81"/>
  <c r="V15" i="81"/>
  <c r="Z8" i="81"/>
  <c r="AC9" i="81"/>
  <c r="AC14" i="81" s="1"/>
  <c r="AC20" i="81"/>
  <c r="AC7" i="81"/>
  <c r="AB7" i="81"/>
  <c r="Q6" i="81"/>
  <c r="AB20" i="81"/>
  <c r="AB8" i="81"/>
  <c r="R6" i="81"/>
  <c r="AB9" i="81"/>
  <c r="Y11" i="81"/>
  <c r="AB10" i="81"/>
  <c r="R11" i="81"/>
  <c r="X11" i="81"/>
  <c r="Y15" i="81"/>
  <c r="X15" i="81"/>
  <c r="AA7" i="81"/>
  <c r="AA9" i="81"/>
  <c r="AA20" i="81"/>
  <c r="P6" i="81"/>
  <c r="AA8" i="81"/>
  <c r="Q11" i="81"/>
  <c r="AA10" i="81"/>
  <c r="W11" i="81"/>
  <c r="W15" i="81"/>
  <c r="Z14" i="81" l="1"/>
  <c r="Z15" i="81" s="1"/>
  <c r="Z11" i="81"/>
  <c r="AB11" i="81"/>
  <c r="AB14" i="81"/>
  <c r="AC15" i="81" s="1"/>
  <c r="AC11" i="81"/>
  <c r="AA11" i="81"/>
  <c r="AA14" i="81"/>
  <c r="AA15" i="81" l="1"/>
  <c r="AB15" i="81"/>
</calcChain>
</file>

<file path=xl/sharedStrings.xml><?xml version="1.0" encoding="utf-8"?>
<sst xmlns="http://schemas.openxmlformats.org/spreadsheetml/2006/main" count="70" uniqueCount="49">
  <si>
    <t>TOTAL</t>
  </si>
  <si>
    <t>2010/11</t>
  </si>
  <si>
    <t>2012/13</t>
  </si>
  <si>
    <t>2013/14</t>
  </si>
  <si>
    <t>2014/15</t>
  </si>
  <si>
    <t>2011/12</t>
  </si>
  <si>
    <t>(R'000)</t>
  </si>
  <si>
    <t>2009/10</t>
  </si>
  <si>
    <t>2015/16</t>
  </si>
  <si>
    <t>TABLE 1</t>
  </si>
  <si>
    <t>Budget totals for the university sector</t>
  </si>
  <si>
    <t>Budget category</t>
  </si>
  <si>
    <t>previous financial year</t>
  </si>
  <si>
    <t xml:space="preserve">2008/09 </t>
  </si>
  <si>
    <t>Teaching inputs</t>
  </si>
  <si>
    <t>Infrastructure &amp; output efficiencies</t>
  </si>
  <si>
    <t>Veterinary Sciences</t>
  </si>
  <si>
    <t>African Institute for Mathematical Studies</t>
  </si>
  <si>
    <t>Merger multi-campuses</t>
  </si>
  <si>
    <t>National Institutes in 2 provinces</t>
  </si>
  <si>
    <t xml:space="preserve">Actual research outputs </t>
  </si>
  <si>
    <t xml:space="preserve">Actual teaching outputs </t>
  </si>
  <si>
    <t>Institute for Human and Social Sciences</t>
  </si>
  <si>
    <t xml:space="preserve">Foundation provision </t>
  </si>
  <si>
    <t>2016/17</t>
  </si>
  <si>
    <t>Teaching &amp; Research outputs</t>
  </si>
  <si>
    <t>T &amp; R output difference in %</t>
  </si>
  <si>
    <t>2017/18</t>
  </si>
  <si>
    <t>NIHE Northern Cape Pipeline Students</t>
  </si>
  <si>
    <t>Increase in budget from</t>
  </si>
  <si>
    <t xml:space="preserve">Institutional factors </t>
  </si>
  <si>
    <t>Earmarked grants for universities</t>
  </si>
  <si>
    <t>Two new universities</t>
  </si>
  <si>
    <t xml:space="preserve">Capital funds </t>
  </si>
  <si>
    <t xml:space="preserve">Operational funds </t>
  </si>
  <si>
    <t xml:space="preserve">NSFAS - Cape Town  </t>
  </si>
  <si>
    <t xml:space="preserve">University Development </t>
  </si>
  <si>
    <t xml:space="preserve">Teaching Development </t>
  </si>
  <si>
    <t>Research Development</t>
  </si>
  <si>
    <t xml:space="preserve">HDI Development Grant (8 universities)  </t>
  </si>
  <si>
    <t>Clinical Training of Health Professionals</t>
  </si>
  <si>
    <t>Block grants for universities</t>
  </si>
  <si>
    <t>Sector oversight</t>
  </si>
  <si>
    <t>Sector Planning, Monitoring, Evaluation &amp; Support</t>
  </si>
  <si>
    <t>Interest &amp; redemption on historic loans</t>
  </si>
  <si>
    <t xml:space="preserve">Grants to Institutions </t>
  </si>
  <si>
    <t>Zero percent student fee increase</t>
  </si>
  <si>
    <t>MBChB students</t>
  </si>
  <si>
    <t>NSFAS - Cape Town  Historic Debt Relief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</si>
</sst>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#\ ###\ ##0"/>
    <numFmt numFmtId="167" formatCode="0.0%"/>
    <numFmt numFmtId="168" formatCode="0.00000"/>
    <numFmt numFmtId="169" formatCode="_(* #,##0.00_);_(* \(#,##0.00\);_(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color rgb="FFFF0000"/>
      <name val="Times New Roman"/>
      <family val="1"/>
    </font>
    <font>
      <u/>
      <sz val="7.5"/>
      <color theme="10"/>
      <name val="Arial"/>
      <family val="2"/>
    </font>
    <font>
      <b/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76">
    <xf numFmtId="0" fontId="0" fillId="0" borderId="0" xfId="0"/>
    <xf numFmtId="1" fontId="0" fillId="0" borderId="0" xfId="0" applyNumberFormat="1"/>
    <xf numFmtId="0" fontId="7" fillId="0" borderId="0" xfId="0" applyFont="1"/>
    <xf numFmtId="0" fontId="7" fillId="0" borderId="2" xfId="0" applyFont="1" applyBorder="1"/>
    <xf numFmtId="166" fontId="7" fillId="0" borderId="20" xfId="0" applyNumberFormat="1" applyFont="1" applyBorder="1"/>
    <xf numFmtId="167" fontId="8" fillId="0" borderId="6" xfId="1" applyNumberFormat="1" applyFont="1" applyBorder="1"/>
    <xf numFmtId="167" fontId="8" fillId="0" borderId="30" xfId="1" applyNumberFormat="1" applyFont="1" applyBorder="1"/>
    <xf numFmtId="10" fontId="10" fillId="0" borderId="0" xfId="1" applyNumberFormat="1" applyFont="1" applyBorder="1"/>
    <xf numFmtId="167" fontId="7" fillId="0" borderId="13" xfId="1" applyNumberFormat="1" applyFont="1" applyBorder="1"/>
    <xf numFmtId="167" fontId="7" fillId="0" borderId="15" xfId="1" applyNumberFormat="1" applyFont="1" applyBorder="1"/>
    <xf numFmtId="10" fontId="9" fillId="0" borderId="0" xfId="1" applyNumberFormat="1" applyBorder="1"/>
    <xf numFmtId="167" fontId="7" fillId="0" borderId="35" xfId="1" applyNumberFormat="1" applyFont="1" applyBorder="1"/>
    <xf numFmtId="167" fontId="7" fillId="0" borderId="23" xfId="1" applyNumberFormat="1" applyFont="1" applyBorder="1"/>
    <xf numFmtId="167" fontId="8" fillId="0" borderId="14" xfId="1" applyNumberFormat="1" applyFont="1" applyBorder="1"/>
    <xf numFmtId="167" fontId="8" fillId="0" borderId="34" xfId="1" applyNumberFormat="1" applyFont="1" applyBorder="1"/>
    <xf numFmtId="0" fontId="7" fillId="0" borderId="0" xfId="0" applyFont="1" applyBorder="1"/>
    <xf numFmtId="0" fontId="7" fillId="0" borderId="20" xfId="0" applyFont="1" applyBorder="1"/>
    <xf numFmtId="0" fontId="7" fillId="0" borderId="24" xfId="0" applyFont="1" applyBorder="1"/>
    <xf numFmtId="166" fontId="7" fillId="0" borderId="24" xfId="0" applyNumberFormat="1" applyFont="1" applyBorder="1"/>
    <xf numFmtId="10" fontId="7" fillId="0" borderId="0" xfId="1" applyNumberFormat="1" applyFont="1" applyFill="1" applyBorder="1"/>
    <xf numFmtId="10" fontId="0" fillId="0" borderId="0" xfId="1" applyNumberFormat="1" applyFont="1"/>
    <xf numFmtId="167" fontId="7" fillId="0" borderId="16" xfId="1" applyNumberFormat="1" applyFont="1" applyBorder="1"/>
    <xf numFmtId="167" fontId="7" fillId="0" borderId="31" xfId="1" applyNumberFormat="1" applyFont="1" applyBorder="1"/>
    <xf numFmtId="166" fontId="0" fillId="0" borderId="0" xfId="0" applyNumberFormat="1"/>
    <xf numFmtId="167" fontId="0" fillId="0" borderId="0" xfId="1" applyNumberFormat="1" applyFont="1"/>
    <xf numFmtId="167" fontId="7" fillId="0" borderId="0" xfId="1" applyNumberFormat="1" applyFont="1" applyBorder="1"/>
    <xf numFmtId="0" fontId="8" fillId="0" borderId="44" xfId="0" applyFont="1" applyBorder="1"/>
    <xf numFmtId="0" fontId="7" fillId="0" borderId="7" xfId="0" applyFont="1" applyBorder="1"/>
    <xf numFmtId="10" fontId="9" fillId="0" borderId="0" xfId="1" applyNumberFormat="1" applyFont="1"/>
    <xf numFmtId="167" fontId="7" fillId="0" borderId="0" xfId="1" applyNumberFormat="1" applyFont="1" applyBorder="1" applyAlignment="1">
      <alignment horizontal="right"/>
    </xf>
    <xf numFmtId="10" fontId="9" fillId="0" borderId="0" xfId="1" applyNumberFormat="1" applyFont="1" applyBorder="1"/>
    <xf numFmtId="167" fontId="7" fillId="0" borderId="0" xfId="1" applyNumberFormat="1" applyFont="1" applyBorder="1" applyAlignment="1">
      <alignment horizontal="center"/>
    </xf>
    <xf numFmtId="1" fontId="9" fillId="0" borderId="0" xfId="1" applyNumberFormat="1" applyBorder="1"/>
    <xf numFmtId="1" fontId="10" fillId="0" borderId="0" xfId="1" applyNumberFormat="1" applyFont="1" applyBorder="1"/>
    <xf numFmtId="167" fontId="7" fillId="0" borderId="47" xfId="1" applyNumberFormat="1" applyFont="1" applyBorder="1"/>
    <xf numFmtId="167" fontId="7" fillId="0" borderId="46" xfId="1" applyNumberFormat="1" applyFont="1" applyBorder="1"/>
    <xf numFmtId="167" fontId="7" fillId="0" borderId="20" xfId="1" applyNumberFormat="1" applyFont="1" applyBorder="1"/>
    <xf numFmtId="0" fontId="0" fillId="0" borderId="0" xfId="0" applyAlignment="1">
      <alignment horizontal="center"/>
    </xf>
    <xf numFmtId="167" fontId="8" fillId="0" borderId="2" xfId="1" applyNumberFormat="1" applyFont="1" applyBorder="1"/>
    <xf numFmtId="167" fontId="8" fillId="0" borderId="0" xfId="1" applyNumberFormat="1" applyFont="1" applyBorder="1"/>
    <xf numFmtId="167" fontId="7" fillId="0" borderId="24" xfId="1" applyNumberFormat="1" applyFont="1" applyBorder="1"/>
    <xf numFmtId="167" fontId="7" fillId="0" borderId="37" xfId="1" applyNumberFormat="1" applyFont="1" applyBorder="1"/>
    <xf numFmtId="167" fontId="8" fillId="0" borderId="44" xfId="1" applyNumberFormat="1" applyFont="1" applyBorder="1"/>
    <xf numFmtId="166" fontId="7" fillId="0" borderId="22" xfId="0" applyNumberFormat="1" applyFont="1" applyBorder="1"/>
    <xf numFmtId="2" fontId="8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11" fillId="0" borderId="4" xfId="0" applyFont="1" applyBorder="1"/>
    <xf numFmtId="0" fontId="11" fillId="0" borderId="25" xfId="0" applyFont="1" applyBorder="1"/>
    <xf numFmtId="0" fontId="11" fillId="0" borderId="0" xfId="0" applyFont="1" applyBorder="1" applyAlignment="1">
      <alignment horizontal="center"/>
    </xf>
    <xf numFmtId="0" fontId="0" fillId="0" borderId="0" xfId="0" applyBorder="1"/>
    <xf numFmtId="0" fontId="11" fillId="0" borderId="2" xfId="0" applyFont="1" applyBorder="1"/>
    <xf numFmtId="0" fontId="11" fillId="0" borderId="0" xfId="0" applyFont="1" applyBorder="1"/>
    <xf numFmtId="0" fontId="11" fillId="0" borderId="17" xfId="0" applyFont="1" applyBorder="1" applyAlignment="1">
      <alignment horizontal="center"/>
    </xf>
    <xf numFmtId="10" fontId="0" fillId="0" borderId="0" xfId="0" applyNumberFormat="1"/>
    <xf numFmtId="0" fontId="11" fillId="0" borderId="2" xfId="0" quotePrefix="1" applyFont="1" applyBorder="1" applyAlignment="1">
      <alignment horizontal="center"/>
    </xf>
    <xf numFmtId="0" fontId="11" fillId="0" borderId="4" xfId="0" quotePrefix="1" applyFont="1" applyBorder="1" applyAlignment="1">
      <alignment horizontal="center"/>
    </xf>
    <xf numFmtId="0" fontId="11" fillId="0" borderId="3" xfId="0" quotePrefix="1" applyFont="1" applyBorder="1" applyAlignment="1">
      <alignment horizontal="center"/>
    </xf>
    <xf numFmtId="0" fontId="11" fillId="0" borderId="25" xfId="0" quotePrefix="1" applyFont="1" applyBorder="1" applyAlignment="1">
      <alignment horizontal="center"/>
    </xf>
    <xf numFmtId="17" fontId="11" fillId="0" borderId="2" xfId="0" quotePrefix="1" applyNumberFormat="1" applyFont="1" applyBorder="1" applyAlignment="1">
      <alignment horizontal="center"/>
    </xf>
    <xf numFmtId="17" fontId="11" fillId="0" borderId="6" xfId="0" quotePrefix="1" applyNumberFormat="1" applyFont="1" applyBorder="1" applyAlignment="1">
      <alignment horizontal="center"/>
    </xf>
    <xf numFmtId="17" fontId="11" fillId="0" borderId="28" xfId="0" quotePrefix="1" applyNumberFormat="1" applyFont="1" applyBorder="1" applyAlignment="1">
      <alignment horizontal="center"/>
    </xf>
    <xf numFmtId="17" fontId="11" fillId="0" borderId="0" xfId="0" quotePrefix="1" applyNumberFormat="1" applyFont="1" applyBorder="1" applyAlignment="1">
      <alignment horizontal="center"/>
    </xf>
    <xf numFmtId="17" fontId="0" fillId="0" borderId="0" xfId="0" quotePrefix="1" applyNumberFormat="1" applyBorder="1" applyAlignment="1">
      <alignment horizontal="center"/>
    </xf>
    <xf numFmtId="0" fontId="0" fillId="0" borderId="0" xfId="0" quotePrefix="1" applyAlignment="1">
      <alignment horizontal="center"/>
    </xf>
    <xf numFmtId="0" fontId="11" fillId="0" borderId="1" xfId="0" applyFont="1" applyBorder="1"/>
    <xf numFmtId="0" fontId="11" fillId="0" borderId="27" xfId="0" applyFont="1" applyBorder="1"/>
    <xf numFmtId="0" fontId="11" fillId="0" borderId="1" xfId="0" quotePrefix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7" fontId="11" fillId="0" borderId="1" xfId="0" quotePrefix="1" applyNumberFormat="1" applyFont="1" applyBorder="1" applyAlignment="1">
      <alignment horizontal="center"/>
    </xf>
    <xf numFmtId="17" fontId="11" fillId="0" borderId="9" xfId="0" quotePrefix="1" applyNumberFormat="1" applyFont="1" applyBorder="1" applyAlignment="1">
      <alignment horizontal="center"/>
    </xf>
    <xf numFmtId="17" fontId="11" fillId="0" borderId="11" xfId="0" quotePrefix="1" applyNumberFormat="1" applyFont="1" applyBorder="1" applyAlignment="1">
      <alignment horizontal="center"/>
    </xf>
    <xf numFmtId="0" fontId="8" fillId="0" borderId="2" xfId="0" applyFont="1" applyBorder="1"/>
    <xf numFmtId="0" fontId="8" fillId="0" borderId="0" xfId="0" applyFont="1" applyBorder="1"/>
    <xf numFmtId="166" fontId="8" fillId="0" borderId="2" xfId="0" applyNumberFormat="1" applyFont="1" applyBorder="1"/>
    <xf numFmtId="166" fontId="8" fillId="0" borderId="5" xfId="0" applyNumberFormat="1" applyFont="1" applyBorder="1"/>
    <xf numFmtId="166" fontId="8" fillId="0" borderId="0" xfId="0" applyNumberFormat="1" applyFont="1" applyBorder="1"/>
    <xf numFmtId="0" fontId="9" fillId="0" borderId="0" xfId="0" applyFont="1" applyAlignment="1">
      <alignment horizontal="center"/>
    </xf>
    <xf numFmtId="0" fontId="9" fillId="0" borderId="0" xfId="0" quotePrefix="1" applyFont="1" applyAlignment="1">
      <alignment horizontal="center"/>
    </xf>
    <xf numFmtId="0" fontId="7" fillId="0" borderId="33" xfId="0" applyFont="1" applyBorder="1"/>
    <xf numFmtId="166" fontId="7" fillId="0" borderId="42" xfId="0" applyNumberFormat="1" applyFont="1" applyBorder="1"/>
    <xf numFmtId="166" fontId="7" fillId="0" borderId="38" xfId="0" applyNumberFormat="1" applyFont="1" applyBorder="1"/>
    <xf numFmtId="166" fontId="7" fillId="0" borderId="12" xfId="0" applyNumberFormat="1" applyFont="1" applyBorder="1"/>
    <xf numFmtId="166" fontId="7" fillId="0" borderId="33" xfId="0" applyNumberFormat="1" applyFont="1" applyBorder="1"/>
    <xf numFmtId="0" fontId="7" fillId="0" borderId="36" xfId="0" applyFont="1" applyBorder="1"/>
    <xf numFmtId="166" fontId="7" fillId="0" borderId="40" xfId="0" applyNumberFormat="1" applyFont="1" applyBorder="1"/>
    <xf numFmtId="166" fontId="7" fillId="0" borderId="8" xfId="0" applyNumberFormat="1" applyFont="1" applyBorder="1"/>
    <xf numFmtId="166" fontId="7" fillId="0" borderId="27" xfId="0" applyNumberFormat="1" applyFont="1" applyBorder="1"/>
    <xf numFmtId="0" fontId="7" fillId="0" borderId="33" xfId="0" applyFont="1" applyFill="1" applyBorder="1"/>
    <xf numFmtId="0" fontId="7" fillId="0" borderId="22" xfId="0" applyFont="1" applyBorder="1"/>
    <xf numFmtId="166" fontId="7" fillId="0" borderId="20" xfId="0" applyNumberFormat="1" applyFont="1" applyBorder="1" applyAlignment="1">
      <alignment horizontal="right"/>
    </xf>
    <xf numFmtId="0" fontId="7" fillId="0" borderId="37" xfId="0" applyFont="1" applyBorder="1"/>
    <xf numFmtId="0" fontId="7" fillId="0" borderId="38" xfId="0" applyFont="1" applyFill="1" applyBorder="1"/>
    <xf numFmtId="0" fontId="7" fillId="0" borderId="38" xfId="0" applyFont="1" applyBorder="1"/>
    <xf numFmtId="166" fontId="7" fillId="0" borderId="37" xfId="0" applyNumberFormat="1" applyFont="1" applyBorder="1"/>
    <xf numFmtId="166" fontId="7" fillId="0" borderId="37" xfId="0" applyNumberFormat="1" applyFont="1" applyBorder="1" applyAlignment="1">
      <alignment horizontal="right"/>
    </xf>
    <xf numFmtId="0" fontId="8" fillId="0" borderId="37" xfId="0" applyFont="1" applyBorder="1"/>
    <xf numFmtId="0" fontId="7" fillId="0" borderId="38" xfId="0" quotePrefix="1" applyFont="1" applyBorder="1"/>
    <xf numFmtId="0" fontId="0" fillId="0" borderId="0" xfId="0" applyNumberFormat="1"/>
    <xf numFmtId="168" fontId="0" fillId="0" borderId="0" xfId="0" applyNumberFormat="1"/>
    <xf numFmtId="165" fontId="7" fillId="0" borderId="33" xfId="0" applyNumberFormat="1" applyFont="1" applyBorder="1"/>
    <xf numFmtId="167" fontId="7" fillId="0" borderId="29" xfId="1" applyNumberFormat="1" applyFont="1" applyBorder="1"/>
    <xf numFmtId="0" fontId="8" fillId="0" borderId="17" xfId="0" applyFont="1" applyBorder="1"/>
    <xf numFmtId="0" fontId="8" fillId="0" borderId="18" xfId="0" applyFont="1" applyFill="1" applyBorder="1"/>
    <xf numFmtId="0" fontId="8" fillId="0" borderId="19" xfId="0" applyFont="1" applyBorder="1"/>
    <xf numFmtId="166" fontId="8" fillId="0" borderId="17" xfId="0" applyNumberFormat="1" applyFont="1" applyBorder="1"/>
    <xf numFmtId="166" fontId="8" fillId="0" borderId="17" xfId="0" applyNumberFormat="1" applyFont="1" applyBorder="1" applyAlignment="1">
      <alignment horizontal="right"/>
    </xf>
    <xf numFmtId="167" fontId="8" fillId="0" borderId="17" xfId="1" applyNumberFormat="1" applyFont="1" applyBorder="1"/>
    <xf numFmtId="167" fontId="8" fillId="0" borderId="41" xfId="1" applyNumberFormat="1" applyFont="1" applyBorder="1"/>
    <xf numFmtId="0" fontId="12" fillId="0" borderId="33" xfId="0" applyFont="1" applyBorder="1"/>
    <xf numFmtId="167" fontId="7" fillId="0" borderId="17" xfId="1" applyNumberFormat="1" applyFont="1" applyBorder="1"/>
    <xf numFmtId="167" fontId="7" fillId="0" borderId="41" xfId="1" applyNumberFormat="1" applyFont="1" applyBorder="1"/>
    <xf numFmtId="165" fontId="7" fillId="0" borderId="0" xfId="0" applyNumberFormat="1" applyFont="1" applyBorder="1"/>
    <xf numFmtId="166" fontId="7" fillId="0" borderId="2" xfId="0" applyNumberFormat="1" applyFont="1" applyBorder="1"/>
    <xf numFmtId="166" fontId="7" fillId="0" borderId="5" xfId="0" applyNumberFormat="1" applyFont="1" applyBorder="1"/>
    <xf numFmtId="0" fontId="8" fillId="0" borderId="43" xfId="0" applyFont="1" applyBorder="1"/>
    <xf numFmtId="166" fontId="8" fillId="0" borderId="44" xfId="0" applyNumberFormat="1" applyFont="1" applyBorder="1"/>
    <xf numFmtId="166" fontId="8" fillId="0" borderId="45" xfId="0" applyNumberFormat="1" applyFont="1" applyBorder="1"/>
    <xf numFmtId="0" fontId="9" fillId="0" borderId="0" xfId="0" applyFont="1"/>
    <xf numFmtId="166" fontId="9" fillId="0" borderId="0" xfId="0" applyNumberFormat="1" applyFont="1"/>
    <xf numFmtId="0" fontId="9" fillId="0" borderId="0" xfId="0" applyFont="1" applyFill="1" applyBorder="1"/>
    <xf numFmtId="0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167" fontId="7" fillId="0" borderId="21" xfId="1" applyNumberFormat="1" applyFont="1" applyBorder="1"/>
    <xf numFmtId="0" fontId="7" fillId="0" borderId="17" xfId="0" applyFont="1" applyBorder="1"/>
    <xf numFmtId="0" fontId="7" fillId="0" borderId="19" xfId="0" applyFont="1" applyBorder="1"/>
    <xf numFmtId="166" fontId="7" fillId="0" borderId="17" xfId="0" applyNumberFormat="1" applyFont="1" applyBorder="1"/>
    <xf numFmtId="166" fontId="7" fillId="0" borderId="32" xfId="0" applyNumberFormat="1" applyFont="1" applyBorder="1"/>
    <xf numFmtId="166" fontId="7" fillId="0" borderId="18" xfId="0" applyNumberFormat="1" applyFont="1" applyBorder="1"/>
    <xf numFmtId="0" fontId="7" fillId="0" borderId="36" xfId="0" applyFont="1" applyFill="1" applyBorder="1"/>
    <xf numFmtId="0" fontId="7" fillId="0" borderId="39" xfId="0" applyFont="1" applyBorder="1"/>
    <xf numFmtId="0" fontId="7" fillId="0" borderId="18" xfId="0" applyFont="1" applyFill="1" applyBorder="1"/>
    <xf numFmtId="166" fontId="7" fillId="0" borderId="17" xfId="0" applyNumberFormat="1" applyFont="1" applyBorder="1" applyAlignment="1">
      <alignment horizontal="right"/>
    </xf>
    <xf numFmtId="165" fontId="8" fillId="0" borderId="18" xfId="0" applyNumberFormat="1" applyFont="1" applyBorder="1"/>
    <xf numFmtId="165" fontId="7" fillId="0" borderId="36" xfId="0" applyNumberFormat="1" applyFont="1" applyBorder="1"/>
    <xf numFmtId="166" fontId="7" fillId="0" borderId="24" xfId="0" applyNumberFormat="1" applyFont="1" applyBorder="1" applyAlignment="1">
      <alignment horizontal="right"/>
    </xf>
    <xf numFmtId="166" fontId="7" fillId="0" borderId="40" xfId="0" applyNumberFormat="1" applyFont="1" applyBorder="1" applyAlignment="1">
      <alignment horizontal="right"/>
    </xf>
    <xf numFmtId="166" fontId="8" fillId="0" borderId="32" xfId="0" applyNumberFormat="1" applyFont="1" applyBorder="1"/>
    <xf numFmtId="0" fontId="7" fillId="0" borderId="48" xfId="0" applyFont="1" applyBorder="1"/>
    <xf numFmtId="167" fontId="7" fillId="0" borderId="49" xfId="1" applyNumberFormat="1" applyFont="1" applyBorder="1"/>
    <xf numFmtId="167" fontId="8" fillId="0" borderId="29" xfId="1" applyNumberFormat="1" applyFont="1" applyBorder="1"/>
    <xf numFmtId="2" fontId="7" fillId="0" borderId="43" xfId="0" applyNumberFormat="1" applyFont="1" applyBorder="1"/>
    <xf numFmtId="0" fontId="7" fillId="0" borderId="43" xfId="0" applyFont="1" applyFill="1" applyBorder="1"/>
    <xf numFmtId="166" fontId="7" fillId="0" borderId="43" xfId="0" applyNumberFormat="1" applyFont="1" applyBorder="1"/>
    <xf numFmtId="0" fontId="7" fillId="0" borderId="43" xfId="0" applyFont="1" applyBorder="1"/>
    <xf numFmtId="167" fontId="7" fillId="0" borderId="43" xfId="1" applyNumberFormat="1" applyFont="1" applyBorder="1"/>
    <xf numFmtId="166" fontId="14" fillId="0" borderId="2" xfId="0" applyNumberFormat="1" applyFont="1" applyBorder="1"/>
    <xf numFmtId="166" fontId="14" fillId="0" borderId="5" xfId="0" applyNumberFormat="1" applyFont="1" applyBorder="1"/>
    <xf numFmtId="166" fontId="12" fillId="0" borderId="42" xfId="0" applyNumberFormat="1" applyFont="1" applyBorder="1"/>
    <xf numFmtId="166" fontId="12" fillId="0" borderId="12" xfId="0" applyNumberFormat="1" applyFont="1" applyBorder="1"/>
    <xf numFmtId="166" fontId="12" fillId="0" borderId="8" xfId="0" applyNumberFormat="1" applyFont="1" applyBorder="1"/>
    <xf numFmtId="167" fontId="7" fillId="0" borderId="2" xfId="1" applyNumberFormat="1" applyFont="1" applyBorder="1"/>
    <xf numFmtId="167" fontId="7" fillId="0" borderId="6" xfId="1" applyNumberFormat="1" applyFont="1" applyBorder="1"/>
    <xf numFmtId="166" fontId="12" fillId="0" borderId="0" xfId="0" applyNumberFormat="1" applyFont="1" applyBorder="1"/>
    <xf numFmtId="2" fontId="12" fillId="0" borderId="0" xfId="0" applyNumberFormat="1" applyFont="1" applyBorder="1"/>
    <xf numFmtId="0" fontId="12" fillId="0" borderId="0" xfId="0" applyFont="1" applyBorder="1"/>
    <xf numFmtId="2" fontId="12" fillId="0" borderId="33" xfId="0" applyNumberFormat="1" applyFont="1" applyBorder="1"/>
    <xf numFmtId="0" fontId="12" fillId="0" borderId="33" xfId="0" applyFont="1" applyFill="1" applyBorder="1"/>
    <xf numFmtId="0" fontId="12" fillId="0" borderId="19" xfId="0" applyFont="1" applyBorder="1"/>
    <xf numFmtId="166" fontId="12" fillId="0" borderId="18" xfId="0" applyNumberFormat="1" applyFont="1" applyBorder="1"/>
    <xf numFmtId="166" fontId="12" fillId="0" borderId="32" xfId="0" applyNumberFormat="1" applyFont="1" applyBorder="1"/>
    <xf numFmtId="2" fontId="12" fillId="0" borderId="38" xfId="0" applyNumberFormat="1" applyFont="1" applyBorder="1"/>
    <xf numFmtId="166" fontId="12" fillId="0" borderId="33" xfId="0" applyNumberFormat="1" applyFont="1" applyBorder="1"/>
    <xf numFmtId="166" fontId="14" fillId="0" borderId="43" xfId="0" applyNumberFormat="1" applyFont="1" applyBorder="1"/>
    <xf numFmtId="166" fontId="14" fillId="0" borderId="45" xfId="0" applyNumberFormat="1" applyFont="1" applyBorder="1"/>
    <xf numFmtId="166" fontId="14" fillId="0" borderId="17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11" fillId="0" borderId="4" xfId="0" applyNumberFormat="1" applyFont="1" applyBorder="1" applyAlignment="1">
      <alignment horizontal="center"/>
    </xf>
    <xf numFmtId="0" fontId="11" fillId="0" borderId="25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0" xfId="0" applyFont="1" applyBorder="1" applyAlignment="1">
      <alignment horizontal="center"/>
    </xf>
  </cellXfs>
  <cellStyles count="28">
    <cellStyle name="Comma 2" xfId="12"/>
    <cellStyle name="Comma 3" xfId="25"/>
    <cellStyle name="Hyperlink 2" xfId="13"/>
    <cellStyle name="Normal" xfId="0" builtinId="0"/>
    <cellStyle name="Normal 2" xfId="2"/>
    <cellStyle name="Normal 2 2" xfId="14"/>
    <cellStyle name="Normal 2 3" xfId="15"/>
    <cellStyle name="Normal 3" xfId="3"/>
    <cellStyle name="Normal 3 2" xfId="16"/>
    <cellStyle name="Normal 3 3" xfId="17"/>
    <cellStyle name="Normal 4" xfId="5"/>
    <cellStyle name="Normal 4 2" xfId="18"/>
    <cellStyle name="Normal 5" xfId="7"/>
    <cellStyle name="Normal 5 2" xfId="9"/>
    <cellStyle name="Normal 6" xfId="10"/>
    <cellStyle name="Normal 7" xfId="24"/>
    <cellStyle name="Normal 73" xfId="19"/>
    <cellStyle name="Normal 75" xfId="20"/>
    <cellStyle name="Normal 76" xfId="21"/>
    <cellStyle name="Normal 8" xfId="26"/>
    <cellStyle name="Percent" xfId="1" builtinId="5"/>
    <cellStyle name="Percent 2" xfId="4"/>
    <cellStyle name="Percent 2 2" xfId="22"/>
    <cellStyle name="Percent 2 3" xfId="23"/>
    <cellStyle name="Percent 3" xfId="6"/>
    <cellStyle name="Percent 4" xfId="8"/>
    <cellStyle name="Percent 5" xfId="11"/>
    <cellStyle name="Percent 6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E%20Financial%20Planning\Rian\Assistance%20in%20Treasury%20MTEF%20internal%20budget%20split\2011\Cilliers.R\Higher%20ed\MTEF%20inputs\Budget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illiers.R\2006\3.%20Budget%20division\My%20Documents\Budget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 budget as % of GDP"/>
      <sheetName val="Macro ed budget"/>
      <sheetName val="Total state budgets_ uni &amp; tech"/>
      <sheetName val="Budgets_1986_to_1990"/>
      <sheetName val="Budgets_1991_to_1995"/>
      <sheetName val="Budgets_1996_to_2000"/>
      <sheetName val="a-values_1986_to_2000"/>
      <sheetName val="a-values_NSFAS inc"/>
      <sheetName val="detailed higher ed_budget2000"/>
      <sheetName val="detailed higher ed_budget99"/>
      <sheetName val="detailed higher ed budget98"/>
      <sheetName val="detailed higher ed budget97"/>
      <sheetName val="detailed higher ed budget96"/>
      <sheetName val="NSFAS_Funds"/>
      <sheetName val="NSFAS_Funds (2)"/>
      <sheetName val="ESS_1987_to_1998_TOTAL"/>
      <sheetName val="ESS_1987_to_1998"/>
      <sheetName val="Per capita"/>
      <sheetName val="historical_cost_units"/>
      <sheetName val="historical_cost_units (2)"/>
      <sheetName val="historical_cost_units (3)"/>
      <sheetName val="Instructions 2000"/>
      <sheetName val="FTE students of 1998 (uni)"/>
      <sheetName val="FTE students of 1998 (tech)"/>
      <sheetName val="Student analysis (uni)"/>
      <sheetName val="Student analysis (tech)"/>
      <sheetName val="subsidy students 2000"/>
      <sheetName val="subsidy students(2) 2000"/>
      <sheetName val="formula calc 2000"/>
      <sheetName val="cost_units 2000"/>
      <sheetName val="a_value_scenario 2000"/>
      <sheetName val="Data outstanding"/>
      <sheetName val="State Exp prel all for 2000"/>
      <sheetName val="Ad hoc_budget 2000"/>
      <sheetName val="subsidy students 99"/>
      <sheetName val="subsidy students(2) 99"/>
      <sheetName val="formula calc 99"/>
      <sheetName val="cost_units 99"/>
      <sheetName val="a_value_scenario 99"/>
      <sheetName val="subsidy students 98"/>
      <sheetName val="subsidy students(2) 98"/>
      <sheetName val="formula_calc_98"/>
      <sheetName val="cost_units 98"/>
      <sheetName val="a_value_scenario 98"/>
      <sheetName val="a_value_scenario (2) 98"/>
      <sheetName val="subsidy students 97"/>
      <sheetName val="subsidy student(2) 97"/>
      <sheetName val="formula_calc_97"/>
      <sheetName val="cost_units 97"/>
      <sheetName val="subsidy students 96"/>
      <sheetName val="subsidy students(2) 96"/>
      <sheetName val="formula calc 96"/>
      <sheetName val="cost_units 96"/>
      <sheetName val="redress 99"/>
      <sheetName val="Research 99 before upscale"/>
      <sheetName val="Research 99 upscale"/>
      <sheetName val="Minister approval 1"/>
      <sheetName val="Minister approval 2"/>
      <sheetName val="State Exp approval"/>
      <sheetName val="Savings"/>
      <sheetName val="Data-Vordering"/>
      <sheetName val="historical faulty student data"/>
      <sheetName val="Analise van koppe en FTEs"/>
      <sheetName val="Distance allocations"/>
      <sheetName val="Bepaling van C1 vir 99"/>
      <sheetName val="n Ander bepaling van C1 vir 99"/>
      <sheetName val="Calculate_C7_to C10 for 99"/>
      <sheetName val="Calculate_C7_to C10 for 1998"/>
      <sheetName val="University remun backlog"/>
      <sheetName val="Technikon remun backlog"/>
      <sheetName val="symbol descriptions"/>
      <sheetName val="only technikon budgets for CTP"/>
      <sheetName val="research output funding"/>
      <sheetName val="Efficient student restrictions"/>
      <sheetName val="Efficient student restricti (4)"/>
      <sheetName val="Efficient student restricti (2)"/>
      <sheetName val="Efficient student restricti (3)"/>
      <sheetName val="Distribution of report"/>
      <sheetName val="a-values_1986_to_19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>
            <v>98</v>
          </cell>
          <cell r="B2">
            <v>20901</v>
          </cell>
          <cell r="C2">
            <v>101</v>
          </cell>
          <cell r="D2">
            <v>30</v>
          </cell>
          <cell r="E2">
            <v>38.808</v>
          </cell>
          <cell r="F2">
            <v>60.082000000000001</v>
          </cell>
          <cell r="G2">
            <v>98.888999999999996</v>
          </cell>
          <cell r="H2">
            <v>96.406000000000006</v>
          </cell>
          <cell r="I2">
            <v>267.61099999999999</v>
          </cell>
        </row>
        <row r="3">
          <cell r="A3">
            <v>98</v>
          </cell>
          <cell r="B3">
            <v>20901</v>
          </cell>
          <cell r="C3">
            <v>101</v>
          </cell>
          <cell r="D3">
            <v>31</v>
          </cell>
          <cell r="E3">
            <v>5.9279999999999999</v>
          </cell>
          <cell r="F3">
            <v>13.132</v>
          </cell>
          <cell r="G3">
            <v>19.059999999999999</v>
          </cell>
          <cell r="H3">
            <v>40.228000000000002</v>
          </cell>
          <cell r="I3">
            <v>110.28</v>
          </cell>
        </row>
        <row r="4">
          <cell r="A4">
            <v>98</v>
          </cell>
          <cell r="B4">
            <v>20901</v>
          </cell>
          <cell r="C4">
            <v>101</v>
          </cell>
          <cell r="D4">
            <v>32</v>
          </cell>
          <cell r="E4">
            <v>0</v>
          </cell>
          <cell r="F4">
            <v>0</v>
          </cell>
          <cell r="G4">
            <v>0</v>
          </cell>
          <cell r="H4">
            <v>19.416</v>
          </cell>
          <cell r="I4">
            <v>46.45</v>
          </cell>
        </row>
        <row r="5">
          <cell r="A5">
            <v>98</v>
          </cell>
          <cell r="B5">
            <v>20901</v>
          </cell>
          <cell r="C5">
            <v>101</v>
          </cell>
          <cell r="D5">
            <v>33</v>
          </cell>
          <cell r="E5">
            <v>32.880000000000003</v>
          </cell>
          <cell r="F5">
            <v>46.95</v>
          </cell>
          <cell r="G5">
            <v>79.828999999999994</v>
          </cell>
          <cell r="H5">
            <v>36.762</v>
          </cell>
          <cell r="I5">
            <v>110.881</v>
          </cell>
        </row>
        <row r="6">
          <cell r="A6">
            <v>98</v>
          </cell>
          <cell r="B6">
            <v>20901</v>
          </cell>
          <cell r="C6">
            <v>101</v>
          </cell>
          <cell r="D6">
            <v>40</v>
          </cell>
          <cell r="E6">
            <v>0</v>
          </cell>
          <cell r="F6">
            <v>0</v>
          </cell>
          <cell r="G6">
            <v>0</v>
          </cell>
          <cell r="H6">
            <v>274.69299999999998</v>
          </cell>
          <cell r="I6">
            <v>1058.2049999999999</v>
          </cell>
        </row>
        <row r="7">
          <cell r="A7">
            <v>98</v>
          </cell>
          <cell r="B7">
            <v>20901</v>
          </cell>
          <cell r="C7">
            <v>101</v>
          </cell>
          <cell r="D7">
            <v>50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55.988999999999997</v>
          </cell>
        </row>
        <row r="8">
          <cell r="A8">
            <v>98</v>
          </cell>
          <cell r="B8">
            <v>20901</v>
          </cell>
          <cell r="C8">
            <v>101</v>
          </cell>
          <cell r="D8">
            <v>60</v>
          </cell>
          <cell r="E8">
            <v>0</v>
          </cell>
          <cell r="F8">
            <v>0</v>
          </cell>
          <cell r="G8">
            <v>0</v>
          </cell>
          <cell r="H8">
            <v>165.53100000000001</v>
          </cell>
          <cell r="I8">
            <v>303.79899999999998</v>
          </cell>
        </row>
        <row r="9">
          <cell r="A9">
            <v>98</v>
          </cell>
          <cell r="B9">
            <v>20901</v>
          </cell>
          <cell r="C9">
            <v>101</v>
          </cell>
          <cell r="D9">
            <v>70</v>
          </cell>
          <cell r="E9">
            <v>7.032</v>
          </cell>
          <cell r="F9">
            <v>91.822000000000003</v>
          </cell>
          <cell r="G9">
            <v>98.852999999999994</v>
          </cell>
          <cell r="H9">
            <v>0</v>
          </cell>
          <cell r="I9">
            <v>0.20300000000000001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 budget as % of GDP"/>
      <sheetName val="Macro ed budget"/>
      <sheetName val="Total state budgets_ uni &amp; tech"/>
      <sheetName val="Budgets_1986_to_1990"/>
      <sheetName val="Budgets_1991_to_1995"/>
      <sheetName val="Budgets_1996_to_2000"/>
      <sheetName val="a-values_1986_to_2000"/>
      <sheetName val="a-values_NSFAS inc"/>
      <sheetName val="detailed higher ed_budget2000"/>
      <sheetName val="detailed higher ed_budget99"/>
      <sheetName val="detailed higher ed budget98"/>
      <sheetName val="detailed higher ed budget97"/>
      <sheetName val="detailed higher ed budget96"/>
      <sheetName val="NSFAS_Funds"/>
      <sheetName val="NSFAS_Funds (2)"/>
      <sheetName val="ESS_1987_to_1998_TOTAL"/>
      <sheetName val="ESS_1987_to_1998"/>
      <sheetName val="Per capita"/>
      <sheetName val="historical_cost_units"/>
      <sheetName val="historical_cost_units (2)"/>
      <sheetName val="historical_cost_units (3)"/>
      <sheetName val="Instructions 2000"/>
      <sheetName val="FTE students of 1998 (uni)"/>
      <sheetName val="FTE students of 1998 (tech)"/>
      <sheetName val="Student analysis (uni)"/>
      <sheetName val="Student analysis (tech)"/>
      <sheetName val="subsidy students 2000"/>
      <sheetName val="subsidy students(2) 2000"/>
      <sheetName val="formula calc 2000"/>
      <sheetName val="cost_units 2000"/>
      <sheetName val="a_value_scenario 2000"/>
      <sheetName val="Data outstanding"/>
      <sheetName val="State Exp prel all for 2000"/>
      <sheetName val="Ad hoc_budget 2000"/>
      <sheetName val="subsidy students 99"/>
      <sheetName val="subsidy students(2) 99"/>
      <sheetName val="formula calc 99"/>
      <sheetName val="cost_units 99"/>
      <sheetName val="a_value_scenario 99"/>
      <sheetName val="subsidy students 98"/>
      <sheetName val="subsidy students(2) 98"/>
      <sheetName val="formula_calc_98"/>
      <sheetName val="cost_units 98"/>
      <sheetName val="a_value_scenario 98"/>
      <sheetName val="a_value_scenario (2) 98"/>
      <sheetName val="subsidy students 97"/>
      <sheetName val="subsidy student(2) 97"/>
      <sheetName val="formula_calc_97"/>
      <sheetName val="cost_units 97"/>
      <sheetName val="subsidy students 96"/>
      <sheetName val="subsidy students(2) 96"/>
      <sheetName val="formula calc 96"/>
      <sheetName val="cost_units 96"/>
      <sheetName val="redress 99"/>
      <sheetName val="Research 99 before upscale"/>
      <sheetName val="Research 99 upscale"/>
      <sheetName val="Minister approval 1"/>
      <sheetName val="Minister approval 2"/>
      <sheetName val="State Exp approval"/>
      <sheetName val="Savings"/>
      <sheetName val="Data-Vordering"/>
      <sheetName val="historical faulty student data"/>
      <sheetName val="Analise van koppe en FTEs"/>
      <sheetName val="Distance allocations"/>
      <sheetName val="Bepaling van C1 vir 99"/>
      <sheetName val="n Ander bepaling van C1 vir 99"/>
      <sheetName val="Calculate_C7_to C10 for 99"/>
      <sheetName val="Calculate_C7_to C10 for 1998"/>
      <sheetName val="University remun backlog"/>
      <sheetName val="Technikon remun backlog"/>
      <sheetName val="symbol descriptions"/>
      <sheetName val="only technikon budgets for CTP"/>
      <sheetName val="research output funding"/>
      <sheetName val="Efficient student restrictions"/>
      <sheetName val="Efficient student restricti (4)"/>
      <sheetName val="Efficient student restricti (2)"/>
      <sheetName val="Efficient student restricti (3)"/>
      <sheetName val="Distribution of report"/>
      <sheetName val="a-values_1986_to_19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2">
          <cell r="A2">
            <v>98</v>
          </cell>
          <cell r="B2">
            <v>20901</v>
          </cell>
          <cell r="C2">
            <v>101</v>
          </cell>
          <cell r="D2">
            <v>30</v>
          </cell>
          <cell r="E2">
            <v>38.808</v>
          </cell>
          <cell r="F2">
            <v>60.082000000000001</v>
          </cell>
          <cell r="G2">
            <v>98.888999999999996</v>
          </cell>
          <cell r="H2">
            <v>96.406000000000006</v>
          </cell>
          <cell r="I2">
            <v>267.61099999999999</v>
          </cell>
        </row>
        <row r="3">
          <cell r="A3">
            <v>98</v>
          </cell>
          <cell r="B3">
            <v>20901</v>
          </cell>
          <cell r="C3">
            <v>101</v>
          </cell>
          <cell r="D3">
            <v>31</v>
          </cell>
          <cell r="E3">
            <v>5.9279999999999999</v>
          </cell>
          <cell r="F3">
            <v>13.132</v>
          </cell>
          <cell r="G3">
            <v>19.059999999999999</v>
          </cell>
          <cell r="H3">
            <v>40.228000000000002</v>
          </cell>
          <cell r="I3">
            <v>110.28</v>
          </cell>
        </row>
        <row r="4">
          <cell r="A4">
            <v>98</v>
          </cell>
          <cell r="B4">
            <v>20901</v>
          </cell>
          <cell r="C4">
            <v>101</v>
          </cell>
          <cell r="D4">
            <v>32</v>
          </cell>
          <cell r="E4">
            <v>0</v>
          </cell>
          <cell r="F4">
            <v>0</v>
          </cell>
          <cell r="G4">
            <v>0</v>
          </cell>
          <cell r="H4">
            <v>19.416</v>
          </cell>
          <cell r="I4">
            <v>46.45</v>
          </cell>
        </row>
        <row r="5">
          <cell r="A5">
            <v>98</v>
          </cell>
          <cell r="B5">
            <v>20901</v>
          </cell>
          <cell r="C5">
            <v>101</v>
          </cell>
          <cell r="D5">
            <v>33</v>
          </cell>
          <cell r="E5">
            <v>32.880000000000003</v>
          </cell>
          <cell r="F5">
            <v>46.95</v>
          </cell>
          <cell r="G5">
            <v>79.828999999999994</v>
          </cell>
          <cell r="H5">
            <v>36.762</v>
          </cell>
          <cell r="I5">
            <v>110.881</v>
          </cell>
        </row>
        <row r="6">
          <cell r="A6">
            <v>98</v>
          </cell>
          <cell r="B6">
            <v>20901</v>
          </cell>
          <cell r="C6">
            <v>101</v>
          </cell>
          <cell r="D6">
            <v>40</v>
          </cell>
          <cell r="E6">
            <v>0</v>
          </cell>
          <cell r="F6">
            <v>0</v>
          </cell>
          <cell r="G6">
            <v>0</v>
          </cell>
          <cell r="H6">
            <v>274.69299999999998</v>
          </cell>
          <cell r="I6">
            <v>1058.2049999999999</v>
          </cell>
        </row>
        <row r="7">
          <cell r="A7">
            <v>98</v>
          </cell>
          <cell r="B7">
            <v>20901</v>
          </cell>
          <cell r="C7">
            <v>101</v>
          </cell>
          <cell r="D7">
            <v>50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55.988999999999997</v>
          </cell>
        </row>
        <row r="8">
          <cell r="A8">
            <v>98</v>
          </cell>
          <cell r="B8">
            <v>20901</v>
          </cell>
          <cell r="C8">
            <v>101</v>
          </cell>
          <cell r="D8">
            <v>60</v>
          </cell>
          <cell r="E8">
            <v>0</v>
          </cell>
          <cell r="F8">
            <v>0</v>
          </cell>
          <cell r="G8">
            <v>0</v>
          </cell>
          <cell r="H8">
            <v>165.53100000000001</v>
          </cell>
          <cell r="I8">
            <v>303.79899999999998</v>
          </cell>
        </row>
        <row r="9">
          <cell r="A9">
            <v>98</v>
          </cell>
          <cell r="B9">
            <v>20901</v>
          </cell>
          <cell r="C9">
            <v>101</v>
          </cell>
          <cell r="D9">
            <v>70</v>
          </cell>
          <cell r="E9">
            <v>7.032</v>
          </cell>
          <cell r="F9">
            <v>91.822000000000003</v>
          </cell>
          <cell r="G9">
            <v>98.852999999999994</v>
          </cell>
          <cell r="H9">
            <v>0</v>
          </cell>
          <cell r="I9">
            <v>0.20300000000000001</v>
          </cell>
        </row>
      </sheetData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2"/>
  <sheetViews>
    <sheetView showGridLines="0" tabSelected="1" zoomScale="80" zoomScaleNormal="80" workbookViewId="0">
      <selection activeCell="K17" sqref="K17"/>
    </sheetView>
  </sheetViews>
  <sheetFormatPr defaultRowHeight="12.75" x14ac:dyDescent="0.2"/>
  <cols>
    <col min="1" max="1" width="2.5703125" customWidth="1"/>
    <col min="2" max="2" width="4.7109375" customWidth="1"/>
    <col min="3" max="3" width="2.28515625" customWidth="1"/>
    <col min="4" max="4" width="39.7109375" customWidth="1"/>
    <col min="5" max="5" width="10.5703125" hidden="1" customWidth="1"/>
    <col min="6" max="6" width="11.140625" hidden="1" customWidth="1"/>
    <col min="7" max="7" width="11" hidden="1" customWidth="1"/>
    <col min="8" max="8" width="13.28515625" hidden="1" customWidth="1"/>
    <col min="9" max="10" width="12" hidden="1" customWidth="1"/>
    <col min="11" max="11" width="10.7109375" customWidth="1"/>
    <col min="12" max="12" width="11" customWidth="1"/>
    <col min="13" max="13" width="10.7109375" customWidth="1"/>
    <col min="14" max="14" width="11.140625" customWidth="1"/>
    <col min="15" max="15" width="7.7109375" customWidth="1"/>
    <col min="16" max="16" width="8.42578125" customWidth="1"/>
    <col min="17" max="18" width="8" customWidth="1"/>
    <col min="19" max="19" width="39.7109375" customWidth="1"/>
    <col min="20" max="20" width="27.5703125" customWidth="1"/>
    <col min="21" max="21" width="10.140625" customWidth="1"/>
    <col min="22" max="22" width="9.28515625" customWidth="1"/>
    <col min="23" max="23" width="9.5703125" customWidth="1"/>
    <col min="24" max="24" width="9.42578125" customWidth="1"/>
    <col min="25" max="25" width="9.140625" customWidth="1"/>
    <col min="26" max="26" width="8.5703125" customWidth="1"/>
  </cols>
  <sheetData>
    <row r="1" spans="1:29" ht="13.5" thickBot="1" x14ac:dyDescent="0.25">
      <c r="A1" s="167" t="s">
        <v>9</v>
      </c>
      <c r="B1" s="167"/>
      <c r="C1" s="167"/>
      <c r="D1" s="167"/>
      <c r="E1" s="167"/>
      <c r="F1" s="167"/>
      <c r="G1" s="167"/>
      <c r="H1" s="45"/>
      <c r="I1" s="45"/>
      <c r="J1" s="45"/>
      <c r="K1" s="45"/>
      <c r="L1" s="45"/>
      <c r="M1" s="45"/>
      <c r="N1" s="45"/>
      <c r="O1" s="2"/>
      <c r="P1" s="2"/>
      <c r="Q1" s="2"/>
      <c r="R1" s="2"/>
      <c r="S1" s="2"/>
    </row>
    <row r="2" spans="1:29" x14ac:dyDescent="0.2">
      <c r="A2" s="46"/>
      <c r="B2" s="47"/>
      <c r="C2" s="47"/>
      <c r="D2" s="47"/>
      <c r="E2" s="121"/>
      <c r="F2" s="121"/>
      <c r="G2" s="121"/>
      <c r="H2" s="120"/>
      <c r="I2" s="120"/>
      <c r="J2" s="120"/>
      <c r="K2" s="168" t="s">
        <v>10</v>
      </c>
      <c r="L2" s="169"/>
      <c r="M2" s="169"/>
      <c r="N2" s="169"/>
      <c r="O2" s="170" t="s">
        <v>29</v>
      </c>
      <c r="P2" s="171"/>
      <c r="Q2" s="171"/>
      <c r="R2" s="172"/>
      <c r="S2" s="48"/>
      <c r="T2" s="49"/>
    </row>
    <row r="3" spans="1:29" ht="13.5" thickBot="1" x14ac:dyDescent="0.25">
      <c r="A3" s="50" t="s">
        <v>11</v>
      </c>
      <c r="B3" s="51"/>
      <c r="C3" s="51"/>
      <c r="D3" s="51"/>
      <c r="E3" s="52"/>
      <c r="F3" s="122"/>
      <c r="G3" s="122"/>
      <c r="H3" s="122"/>
      <c r="I3" s="122"/>
      <c r="J3" s="122"/>
      <c r="K3" s="122"/>
      <c r="L3" s="123"/>
      <c r="M3" s="123"/>
      <c r="N3" s="123"/>
      <c r="O3" s="173" t="s">
        <v>12</v>
      </c>
      <c r="P3" s="174"/>
      <c r="Q3" s="174"/>
      <c r="R3" s="175"/>
      <c r="S3" s="48"/>
      <c r="T3" s="49"/>
      <c r="W3" s="53"/>
      <c r="X3" s="53"/>
      <c r="Y3" s="53"/>
      <c r="Z3" s="53"/>
      <c r="AA3" s="53"/>
      <c r="AB3" s="53"/>
    </row>
    <row r="4" spans="1:29" x14ac:dyDescent="0.2">
      <c r="A4" s="50"/>
      <c r="B4" s="51"/>
      <c r="C4" s="51"/>
      <c r="D4" s="51"/>
      <c r="E4" s="54" t="s">
        <v>13</v>
      </c>
      <c r="F4" s="54" t="s">
        <v>7</v>
      </c>
      <c r="G4" s="54" t="s">
        <v>1</v>
      </c>
      <c r="H4" s="55" t="s">
        <v>5</v>
      </c>
      <c r="I4" s="55" t="s">
        <v>2</v>
      </c>
      <c r="J4" s="55" t="s">
        <v>3</v>
      </c>
      <c r="K4" s="55" t="s">
        <v>4</v>
      </c>
      <c r="L4" s="56" t="s">
        <v>8</v>
      </c>
      <c r="M4" s="57" t="s">
        <v>24</v>
      </c>
      <c r="N4" s="56" t="s">
        <v>27</v>
      </c>
      <c r="O4" s="58" t="s">
        <v>4</v>
      </c>
      <c r="P4" s="59" t="s">
        <v>8</v>
      </c>
      <c r="Q4" s="59" t="s">
        <v>24</v>
      </c>
      <c r="R4" s="60" t="s">
        <v>27</v>
      </c>
      <c r="S4" s="61"/>
      <c r="T4" s="62"/>
      <c r="V4" s="63"/>
    </row>
    <row r="5" spans="1:29" ht="13.5" thickBot="1" x14ac:dyDescent="0.25">
      <c r="A5" s="64"/>
      <c r="B5" s="65"/>
      <c r="C5" s="65"/>
      <c r="D5" s="65"/>
      <c r="E5" s="66"/>
      <c r="F5" s="122" t="s">
        <v>6</v>
      </c>
      <c r="G5" s="122" t="s">
        <v>6</v>
      </c>
      <c r="H5" s="122" t="s">
        <v>6</v>
      </c>
      <c r="I5" s="122" t="s">
        <v>6</v>
      </c>
      <c r="J5" s="122" t="s">
        <v>6</v>
      </c>
      <c r="K5" s="122" t="s">
        <v>6</v>
      </c>
      <c r="L5" s="67" t="s">
        <v>6</v>
      </c>
      <c r="M5" s="123" t="s">
        <v>6</v>
      </c>
      <c r="N5" s="67" t="s">
        <v>6</v>
      </c>
      <c r="O5" s="68"/>
      <c r="P5" s="69"/>
      <c r="Q5" s="69"/>
      <c r="R5" s="70"/>
      <c r="S5" s="61"/>
      <c r="T5" s="62"/>
      <c r="V5" s="63"/>
    </row>
    <row r="6" spans="1:29" x14ac:dyDescent="0.2">
      <c r="A6" s="71">
        <v>1</v>
      </c>
      <c r="B6" s="72" t="s">
        <v>41</v>
      </c>
      <c r="C6" s="15"/>
      <c r="D6" s="15"/>
      <c r="E6" s="73">
        <f t="shared" ref="E6:M6" si="0">SUM(E7:E10)</f>
        <v>11451503</v>
      </c>
      <c r="F6" s="73">
        <f t="shared" si="0"/>
        <v>12700520</v>
      </c>
      <c r="G6" s="73">
        <f t="shared" si="0"/>
        <v>14532751</v>
      </c>
      <c r="H6" s="73">
        <f t="shared" si="0"/>
        <v>16386795</v>
      </c>
      <c r="I6" s="73">
        <f t="shared" si="0"/>
        <v>17433861</v>
      </c>
      <c r="J6" s="73">
        <f t="shared" si="0"/>
        <v>18438584.032654297</v>
      </c>
      <c r="K6" s="73">
        <f t="shared" si="0"/>
        <v>19561234</v>
      </c>
      <c r="L6" s="74">
        <f t="shared" si="0"/>
        <v>20538361</v>
      </c>
      <c r="M6" s="73">
        <f t="shared" si="0"/>
        <v>21678098</v>
      </c>
      <c r="N6" s="148">
        <f t="shared" ref="N6" si="1">SUM(N7:N10)</f>
        <v>25322565</v>
      </c>
      <c r="O6" s="38">
        <f t="shared" ref="O6:R12" si="2">(K6-J6)/J6</f>
        <v>6.0885909967789115E-2</v>
      </c>
      <c r="P6" s="5">
        <f t="shared" si="2"/>
        <v>4.9952216715980186E-2</v>
      </c>
      <c r="Q6" s="5">
        <f t="shared" si="2"/>
        <v>5.549308438000481E-2</v>
      </c>
      <c r="R6" s="6">
        <f t="shared" si="2"/>
        <v>0.16811747045335804</v>
      </c>
      <c r="S6" s="39"/>
      <c r="T6" s="75"/>
      <c r="U6" s="37" t="s">
        <v>7</v>
      </c>
      <c r="V6" s="37" t="s">
        <v>1</v>
      </c>
      <c r="W6" s="37" t="s">
        <v>5</v>
      </c>
      <c r="X6" s="37" t="s">
        <v>2</v>
      </c>
      <c r="Y6" s="37" t="s">
        <v>3</v>
      </c>
      <c r="Z6" s="76" t="s">
        <v>4</v>
      </c>
      <c r="AA6" s="76" t="s">
        <v>8</v>
      </c>
      <c r="AB6" s="76" t="s">
        <v>24</v>
      </c>
      <c r="AC6" s="77" t="s">
        <v>27</v>
      </c>
    </row>
    <row r="7" spans="1:29" x14ac:dyDescent="0.2">
      <c r="A7" s="16"/>
      <c r="B7" s="78">
        <v>1.1000000000000001</v>
      </c>
      <c r="C7" s="78" t="s">
        <v>14</v>
      </c>
      <c r="D7" s="78"/>
      <c r="E7" s="4">
        <f>7440757+305853</f>
        <v>7746610</v>
      </c>
      <c r="F7" s="4">
        <v>8497186</v>
      </c>
      <c r="G7" s="4">
        <v>9792984</v>
      </c>
      <c r="H7" s="4">
        <v>10909568</v>
      </c>
      <c r="I7" s="4">
        <v>11658601</v>
      </c>
      <c r="J7" s="4">
        <v>12148219.275946619</v>
      </c>
      <c r="K7" s="4">
        <f>12717053-3787</f>
        <v>12713266</v>
      </c>
      <c r="L7" s="79">
        <v>13141519</v>
      </c>
      <c r="M7" s="80">
        <f>13754562-1000-22</f>
        <v>13753540</v>
      </c>
      <c r="N7" s="149">
        <v>16220201</v>
      </c>
      <c r="O7" s="36">
        <f t="shared" si="2"/>
        <v>4.6512720195310366E-2</v>
      </c>
      <c r="P7" s="8">
        <f t="shared" si="2"/>
        <v>3.3685521879271624E-2</v>
      </c>
      <c r="Q7" s="8">
        <f t="shared" si="2"/>
        <v>4.6571556910582408E-2</v>
      </c>
      <c r="R7" s="9">
        <f t="shared" si="2"/>
        <v>0.17934735348135825</v>
      </c>
      <c r="S7" s="25"/>
      <c r="T7" s="75"/>
      <c r="U7" s="19">
        <f>F7/$F$6</f>
        <v>0.66904236991871202</v>
      </c>
      <c r="V7" s="19">
        <f>G7/$G$6</f>
        <v>0.67385617492517413</v>
      </c>
      <c r="W7" s="19">
        <f>H7/$H$6</f>
        <v>0.66575361441941516</v>
      </c>
      <c r="X7" s="19">
        <f>I7/$I$6</f>
        <v>0.66873316243602032</v>
      </c>
      <c r="Y7" s="20">
        <f>J7/$J$6</f>
        <v>0.65884773225711957</v>
      </c>
      <c r="Z7" s="28">
        <f>K7/$K$6</f>
        <v>0.64992147223431818</v>
      </c>
      <c r="AA7" s="28">
        <f>L7/$L$6</f>
        <v>0.63985237186161059</v>
      </c>
      <c r="AB7" s="28">
        <f>M7/$M$6</f>
        <v>0.6344440365570817</v>
      </c>
      <c r="AC7" s="20">
        <f>N7/$N$6</f>
        <v>0.64054336517647403</v>
      </c>
    </row>
    <row r="8" spans="1:29" x14ac:dyDescent="0.2">
      <c r="A8" s="16"/>
      <c r="B8" s="78">
        <v>1.2</v>
      </c>
      <c r="C8" s="78" t="s">
        <v>30</v>
      </c>
      <c r="D8" s="78"/>
      <c r="E8" s="4">
        <f>774894+31852</f>
        <v>806746</v>
      </c>
      <c r="F8" s="4">
        <v>884912</v>
      </c>
      <c r="G8" s="4">
        <v>849701</v>
      </c>
      <c r="H8" s="4">
        <v>946582</v>
      </c>
      <c r="I8" s="4">
        <v>1011573</v>
      </c>
      <c r="J8" s="4">
        <v>1054055.2567076781</v>
      </c>
      <c r="K8" s="4">
        <v>1103392</v>
      </c>
      <c r="L8" s="81">
        <f>1170565-193</f>
        <v>1170372</v>
      </c>
      <c r="M8" s="82">
        <v>1225710</v>
      </c>
      <c r="N8" s="150">
        <v>1445538</v>
      </c>
      <c r="O8" s="36">
        <f t="shared" si="2"/>
        <v>4.6806600487363736E-2</v>
      </c>
      <c r="P8" s="8">
        <f t="shared" si="2"/>
        <v>6.0703720889765375E-2</v>
      </c>
      <c r="Q8" s="8">
        <f t="shared" si="2"/>
        <v>4.7282402518173706E-2</v>
      </c>
      <c r="R8" s="9">
        <f t="shared" si="2"/>
        <v>0.17934748023594488</v>
      </c>
      <c r="S8" s="25"/>
      <c r="T8" s="75"/>
      <c r="U8" s="19">
        <f>F8/$F$6</f>
        <v>6.9675257391035958E-2</v>
      </c>
      <c r="V8" s="19">
        <f>G8/$G$6</f>
        <v>5.8468007880957983E-2</v>
      </c>
      <c r="W8" s="19">
        <f>H8/$H$6</f>
        <v>5.7764925966303969E-2</v>
      </c>
      <c r="X8" s="19">
        <f>I8/$I$6</f>
        <v>5.802346364927425E-2</v>
      </c>
      <c r="Y8" s="20">
        <f>J8/$J$6</f>
        <v>5.7165737609838757E-2</v>
      </c>
      <c r="Z8" s="28">
        <f>K8/$K$6</f>
        <v>5.6407075340952413E-2</v>
      </c>
      <c r="AA8" s="28">
        <f>L8/$L$6</f>
        <v>5.6984683441877376E-2</v>
      </c>
      <c r="AB8" s="28">
        <f>M8/$M$6</f>
        <v>5.6541399526840411E-2</v>
      </c>
      <c r="AC8" s="20">
        <f t="shared" ref="AC8:AC10" si="3">N8/$N$6</f>
        <v>5.7084975396449765E-2</v>
      </c>
    </row>
    <row r="9" spans="1:29" x14ac:dyDescent="0.2">
      <c r="A9" s="16"/>
      <c r="B9" s="78">
        <v>1.3</v>
      </c>
      <c r="C9" s="78" t="s">
        <v>21</v>
      </c>
      <c r="D9" s="78"/>
      <c r="E9" s="4">
        <v>1550365</v>
      </c>
      <c r="F9" s="4">
        <v>1777818</v>
      </c>
      <c r="G9" s="4">
        <v>2053350</v>
      </c>
      <c r="H9" s="4">
        <v>2306077</v>
      </c>
      <c r="I9" s="4">
        <v>2537108</v>
      </c>
      <c r="J9" s="4">
        <v>2712978.5</v>
      </c>
      <c r="K9" s="4">
        <v>2974475</v>
      </c>
      <c r="L9" s="81">
        <v>3213301</v>
      </c>
      <c r="M9" s="82">
        <v>3512017</v>
      </c>
      <c r="N9" s="150">
        <v>4310654</v>
      </c>
      <c r="O9" s="36">
        <f t="shared" si="2"/>
        <v>9.6387236389820261E-2</v>
      </c>
      <c r="P9" s="8">
        <f t="shared" si="2"/>
        <v>8.0291816202859329E-2</v>
      </c>
      <c r="Q9" s="8">
        <f t="shared" si="2"/>
        <v>9.2962346197881865E-2</v>
      </c>
      <c r="R9" s="9">
        <f t="shared" si="2"/>
        <v>0.22740123410564356</v>
      </c>
      <c r="S9" s="25"/>
      <c r="T9" s="75"/>
      <c r="U9" s="19">
        <f>F9/$F$6</f>
        <v>0.13997993782931722</v>
      </c>
      <c r="V9" s="19">
        <f>G9/$G$6</f>
        <v>0.14129121182906113</v>
      </c>
      <c r="W9" s="19">
        <f>H9/$H$6</f>
        <v>0.14072776281145885</v>
      </c>
      <c r="X9" s="19">
        <f>I9/$I$6</f>
        <v>0.14552760286433394</v>
      </c>
      <c r="Y9" s="20">
        <f>J9/$J$6</f>
        <v>0.14713594575350142</v>
      </c>
      <c r="Z9" s="28">
        <f>K9/$K$6</f>
        <v>0.15205968089743213</v>
      </c>
      <c r="AA9" s="28">
        <f>L9/$L$6</f>
        <v>0.15645362353889875</v>
      </c>
      <c r="AB9" s="28">
        <f>M9/$M$6</f>
        <v>0.1620076170889162</v>
      </c>
      <c r="AC9" s="20">
        <f t="shared" si="3"/>
        <v>0.1702297535814401</v>
      </c>
    </row>
    <row r="10" spans="1:29" ht="13.5" thickBot="1" x14ac:dyDescent="0.25">
      <c r="A10" s="17"/>
      <c r="B10" s="83">
        <v>1.4</v>
      </c>
      <c r="C10" s="83" t="s">
        <v>20</v>
      </c>
      <c r="D10" s="83"/>
      <c r="E10" s="18">
        <v>1347782</v>
      </c>
      <c r="F10" s="18">
        <v>1540604</v>
      </c>
      <c r="G10" s="18">
        <v>1836716</v>
      </c>
      <c r="H10" s="18">
        <v>2224568</v>
      </c>
      <c r="I10" s="18">
        <v>2226579</v>
      </c>
      <c r="J10" s="18">
        <v>2523331</v>
      </c>
      <c r="K10" s="84">
        <f>2770101</f>
        <v>2770101</v>
      </c>
      <c r="L10" s="85">
        <f>3012342+844-17</f>
        <v>3013169</v>
      </c>
      <c r="M10" s="86">
        <v>3186831</v>
      </c>
      <c r="N10" s="151">
        <v>3346172</v>
      </c>
      <c r="O10" s="40">
        <f t="shared" si="2"/>
        <v>9.779533481735056E-2</v>
      </c>
      <c r="P10" s="11">
        <f t="shared" si="2"/>
        <v>8.7746981066755325E-2</v>
      </c>
      <c r="Q10" s="11">
        <f t="shared" si="2"/>
        <v>5.7634337801829236E-2</v>
      </c>
      <c r="R10" s="21">
        <f t="shared" si="2"/>
        <v>4.9999827414757794E-2</v>
      </c>
      <c r="S10" s="25"/>
      <c r="T10" s="75"/>
      <c r="U10" s="19">
        <f>F10/$F$6</f>
        <v>0.12130243486093482</v>
      </c>
      <c r="V10" s="19">
        <f>G10/$G$6</f>
        <v>0.1263846053648067</v>
      </c>
      <c r="W10" s="19">
        <f>H10/$H$6</f>
        <v>0.13575369680282204</v>
      </c>
      <c r="X10" s="19">
        <f>I10/$I$6</f>
        <v>0.12771577105037146</v>
      </c>
      <c r="Y10" s="20">
        <f>J10/$J$6</f>
        <v>0.13685058437954023</v>
      </c>
      <c r="Z10" s="28">
        <f>K10/$K$6</f>
        <v>0.14161177152729731</v>
      </c>
      <c r="AA10" s="28">
        <f>L10/$L$6</f>
        <v>0.14670932115761331</v>
      </c>
      <c r="AB10" s="28">
        <f>M10/$M$6</f>
        <v>0.14700694682716167</v>
      </c>
      <c r="AC10" s="20">
        <f t="shared" si="3"/>
        <v>0.13214190584563609</v>
      </c>
    </row>
    <row r="11" spans="1:29" x14ac:dyDescent="0.2">
      <c r="A11" s="71">
        <v>2</v>
      </c>
      <c r="B11" s="72" t="s">
        <v>31</v>
      </c>
      <c r="C11" s="72"/>
      <c r="D11" s="72"/>
      <c r="E11" s="73">
        <f>SUM(E12:E36)</f>
        <v>3393285</v>
      </c>
      <c r="F11" s="73">
        <f>SUM(F12:F36)</f>
        <v>4015627</v>
      </c>
      <c r="G11" s="73">
        <f>SUM(G12:G36)</f>
        <v>4545741</v>
      </c>
      <c r="H11" s="73">
        <f>SUM(H12:H36)</f>
        <v>5610149</v>
      </c>
      <c r="I11" s="73">
        <f>SUM(I12:I36)</f>
        <v>6846900</v>
      </c>
      <c r="J11" s="73">
        <f>SUM(J12:J28)</f>
        <v>3945589</v>
      </c>
      <c r="K11" s="73">
        <f>SUM(K12:K28)</f>
        <v>4589059</v>
      </c>
      <c r="L11" s="74">
        <f>SUM(L12:L28)</f>
        <v>5666037</v>
      </c>
      <c r="M11" s="147">
        <f>SUM(M12:M28)</f>
        <v>6246374</v>
      </c>
      <c r="N11" s="148">
        <f>SUM(N12:N28)</f>
        <v>6241927</v>
      </c>
      <c r="O11" s="38">
        <f t="shared" si="2"/>
        <v>0.16308591695688526</v>
      </c>
      <c r="P11" s="5">
        <f t="shared" si="2"/>
        <v>0.23468384259169472</v>
      </c>
      <c r="Q11" s="5">
        <f t="shared" si="2"/>
        <v>0.10242379285557084</v>
      </c>
      <c r="R11" s="6">
        <f t="shared" si="2"/>
        <v>-7.1193303506962601E-4</v>
      </c>
      <c r="S11" s="39"/>
      <c r="T11" s="75"/>
      <c r="U11" s="7"/>
      <c r="V11" s="7"/>
      <c r="W11" s="53">
        <f t="shared" ref="W11:AC11" si="4">W7+W8+W9+W10</f>
        <v>1</v>
      </c>
      <c r="X11" s="53">
        <f t="shared" si="4"/>
        <v>1</v>
      </c>
      <c r="Y11" s="53">
        <f t="shared" si="4"/>
        <v>1</v>
      </c>
      <c r="Z11" s="53">
        <f t="shared" si="4"/>
        <v>1</v>
      </c>
      <c r="AA11" s="53">
        <f t="shared" si="4"/>
        <v>1</v>
      </c>
      <c r="AB11" s="53">
        <f t="shared" si="4"/>
        <v>1</v>
      </c>
      <c r="AC11" s="53">
        <f t="shared" si="4"/>
        <v>1</v>
      </c>
    </row>
    <row r="12" spans="1:29" x14ac:dyDescent="0.2">
      <c r="A12" s="16"/>
      <c r="B12" s="78">
        <v>2.1</v>
      </c>
      <c r="C12" s="87" t="s">
        <v>15</v>
      </c>
      <c r="D12" s="88"/>
      <c r="E12" s="4">
        <v>1095000</v>
      </c>
      <c r="F12" s="4">
        <v>1462000</v>
      </c>
      <c r="G12" s="4">
        <v>1585000</v>
      </c>
      <c r="H12" s="89">
        <f>1615000+18810</f>
        <v>1633810</v>
      </c>
      <c r="I12" s="89">
        <v>1800000</v>
      </c>
      <c r="J12" s="89">
        <v>2000000</v>
      </c>
      <c r="K12" s="89">
        <v>2200000</v>
      </c>
      <c r="L12" s="81">
        <v>2301200</v>
      </c>
      <c r="M12" s="82">
        <v>2422013</v>
      </c>
      <c r="N12" s="81">
        <v>2541903</v>
      </c>
      <c r="O12" s="36">
        <f t="shared" si="2"/>
        <v>0.1</v>
      </c>
      <c r="P12" s="8">
        <f t="shared" si="2"/>
        <v>4.5999999999999999E-2</v>
      </c>
      <c r="Q12" s="8">
        <f t="shared" si="2"/>
        <v>5.2499999999999998E-2</v>
      </c>
      <c r="R12" s="9">
        <f t="shared" si="2"/>
        <v>4.9500147191612928E-2</v>
      </c>
      <c r="S12" s="25"/>
    </row>
    <row r="13" spans="1:29" x14ac:dyDescent="0.2">
      <c r="A13" s="16"/>
      <c r="B13" s="78">
        <v>2.2000000000000002</v>
      </c>
      <c r="C13" s="78" t="s">
        <v>32</v>
      </c>
      <c r="D13" s="108"/>
      <c r="E13" s="4"/>
      <c r="F13" s="4"/>
      <c r="G13" s="4"/>
      <c r="H13" s="4"/>
      <c r="I13" s="4"/>
      <c r="J13" s="4"/>
      <c r="K13" s="4"/>
      <c r="L13" s="81"/>
      <c r="M13" s="82"/>
      <c r="N13" s="81"/>
      <c r="O13" s="109"/>
      <c r="P13" s="110"/>
      <c r="Q13" s="110"/>
      <c r="R13" s="100"/>
      <c r="S13" s="25"/>
      <c r="T13" s="75"/>
      <c r="U13" s="19"/>
      <c r="V13" s="19"/>
      <c r="W13" s="19"/>
      <c r="X13" s="19"/>
      <c r="Y13" s="20"/>
      <c r="Z13" s="28"/>
      <c r="AA13" s="28"/>
    </row>
    <row r="14" spans="1:29" x14ac:dyDescent="0.2">
      <c r="A14" s="16"/>
      <c r="B14" s="78"/>
      <c r="C14" s="87"/>
      <c r="D14" s="87" t="s">
        <v>33</v>
      </c>
      <c r="E14" s="4"/>
      <c r="F14" s="4"/>
      <c r="G14" s="4"/>
      <c r="H14" s="89"/>
      <c r="I14" s="89"/>
      <c r="J14" s="89">
        <v>150000</v>
      </c>
      <c r="K14" s="89">
        <v>500000</v>
      </c>
      <c r="L14" s="81">
        <v>1000000</v>
      </c>
      <c r="M14" s="82">
        <v>974736</v>
      </c>
      <c r="N14" s="150">
        <f>967582+10900</f>
        <v>978482</v>
      </c>
      <c r="O14" s="109">
        <f t="shared" ref="O14:R15" si="5">(K14-J14)/J14</f>
        <v>2.3333333333333335</v>
      </c>
      <c r="P14" s="110">
        <f t="shared" si="5"/>
        <v>1</v>
      </c>
      <c r="Q14" s="110">
        <f t="shared" si="5"/>
        <v>-2.5264000000000002E-2</v>
      </c>
      <c r="R14" s="100">
        <f t="shared" si="5"/>
        <v>3.8430918730815319E-3</v>
      </c>
      <c r="S14" s="25"/>
      <c r="T14" s="29" t="s">
        <v>25</v>
      </c>
      <c r="U14" s="10">
        <f t="shared" ref="U14:AC14" si="6">U9+U10</f>
        <v>0.26128237269025206</v>
      </c>
      <c r="V14" s="10">
        <f t="shared" si="6"/>
        <v>0.26767581719386779</v>
      </c>
      <c r="W14" s="10">
        <f t="shared" si="6"/>
        <v>0.27648145961428089</v>
      </c>
      <c r="X14" s="10">
        <f t="shared" si="6"/>
        <v>0.27324337391470543</v>
      </c>
      <c r="Y14" s="10">
        <f t="shared" si="6"/>
        <v>0.28398653013304165</v>
      </c>
      <c r="Z14" s="30">
        <f t="shared" si="6"/>
        <v>0.29367145242472947</v>
      </c>
      <c r="AA14" s="30">
        <f t="shared" si="6"/>
        <v>0.30316294469651206</v>
      </c>
      <c r="AB14" s="30">
        <f t="shared" si="6"/>
        <v>0.30901456391607784</v>
      </c>
      <c r="AC14" s="30">
        <f t="shared" si="6"/>
        <v>0.30237165942707622</v>
      </c>
    </row>
    <row r="15" spans="1:29" x14ac:dyDescent="0.2">
      <c r="A15" s="16"/>
      <c r="B15" s="78"/>
      <c r="C15" s="87"/>
      <c r="D15" s="87" t="s">
        <v>34</v>
      </c>
      <c r="E15" s="4"/>
      <c r="F15" s="4"/>
      <c r="G15" s="4"/>
      <c r="H15" s="89">
        <v>50000</v>
      </c>
      <c r="I15" s="89">
        <v>100000</v>
      </c>
      <c r="J15" s="89">
        <v>150000</v>
      </c>
      <c r="K15" s="89">
        <v>159000</v>
      </c>
      <c r="L15" s="81">
        <v>201014</v>
      </c>
      <c r="M15" s="82">
        <v>290429</v>
      </c>
      <c r="N15" s="81">
        <v>360736</v>
      </c>
      <c r="O15" s="36">
        <f t="shared" si="5"/>
        <v>0.06</v>
      </c>
      <c r="P15" s="8">
        <f t="shared" si="5"/>
        <v>0.26423899371069182</v>
      </c>
      <c r="Q15" s="8">
        <f t="shared" si="5"/>
        <v>0.44481976379754645</v>
      </c>
      <c r="R15" s="9">
        <f t="shared" si="5"/>
        <v>0.24207981985270066</v>
      </c>
      <c r="S15" s="25"/>
      <c r="T15" s="31" t="s">
        <v>26</v>
      </c>
      <c r="U15" s="10"/>
      <c r="V15" s="10">
        <f t="shared" ref="V15:AC15" si="7">V14-U14</f>
        <v>6.3934445036157306E-3</v>
      </c>
      <c r="W15" s="10">
        <f t="shared" si="7"/>
        <v>8.8056424204130956E-3</v>
      </c>
      <c r="X15" s="10">
        <f t="shared" si="7"/>
        <v>-3.2380856995754548E-3</v>
      </c>
      <c r="Y15" s="10">
        <f t="shared" si="7"/>
        <v>1.0743156218336214E-2</v>
      </c>
      <c r="Z15" s="30">
        <f t="shared" si="7"/>
        <v>9.6849222916878253E-3</v>
      </c>
      <c r="AA15" s="30">
        <f t="shared" si="7"/>
        <v>9.4914922717825867E-3</v>
      </c>
      <c r="AB15" s="30">
        <f t="shared" si="7"/>
        <v>5.8516192195657846E-3</v>
      </c>
      <c r="AC15" s="30">
        <f t="shared" si="7"/>
        <v>-6.642904489001622E-3</v>
      </c>
    </row>
    <row r="16" spans="1:29" x14ac:dyDescent="0.2">
      <c r="A16" s="16"/>
      <c r="B16" s="78"/>
      <c r="C16" s="87"/>
      <c r="D16" s="87" t="s">
        <v>19</v>
      </c>
      <c r="E16" s="4">
        <v>30000</v>
      </c>
      <c r="F16" s="4">
        <v>35000</v>
      </c>
      <c r="G16" s="4">
        <v>39000</v>
      </c>
      <c r="H16" s="89">
        <v>41000</v>
      </c>
      <c r="I16" s="89">
        <v>43050</v>
      </c>
      <c r="J16" s="89">
        <v>45418</v>
      </c>
      <c r="K16" s="89">
        <v>48143</v>
      </c>
      <c r="L16" s="81">
        <v>0</v>
      </c>
      <c r="M16" s="82">
        <v>0</v>
      </c>
      <c r="N16" s="81">
        <v>0</v>
      </c>
      <c r="O16" s="36">
        <f>(K16-J16)/J16</f>
        <v>5.9998238583821389E-2</v>
      </c>
      <c r="P16" s="8">
        <f>(L16-K16)/K16</f>
        <v>-1</v>
      </c>
      <c r="Q16" s="8"/>
      <c r="R16" s="9"/>
      <c r="S16" s="25"/>
      <c r="T16" s="32"/>
      <c r="U16" s="97"/>
      <c r="V16" s="98"/>
    </row>
    <row r="17" spans="1:29" x14ac:dyDescent="0.2">
      <c r="A17" s="16"/>
      <c r="B17" s="78"/>
      <c r="C17" s="87"/>
      <c r="D17" s="87" t="s">
        <v>28</v>
      </c>
      <c r="E17" s="4"/>
      <c r="F17" s="4"/>
      <c r="G17" s="4"/>
      <c r="H17" s="89"/>
      <c r="I17" s="89"/>
      <c r="J17" s="89"/>
      <c r="K17" s="89"/>
      <c r="L17" s="81">
        <v>12000</v>
      </c>
      <c r="M17" s="82">
        <v>10000</v>
      </c>
      <c r="N17" s="81">
        <v>6500</v>
      </c>
      <c r="O17" s="36"/>
      <c r="P17" s="8"/>
      <c r="Q17" s="8">
        <f t="shared" ref="Q17:R20" si="8">(M17-L17)/L17</f>
        <v>-0.16666666666666666</v>
      </c>
      <c r="R17" s="9">
        <f t="shared" si="8"/>
        <v>-0.35</v>
      </c>
      <c r="S17" s="25"/>
      <c r="T17" s="32"/>
      <c r="U17" s="97"/>
      <c r="V17" s="98"/>
    </row>
    <row r="18" spans="1:29" x14ac:dyDescent="0.2">
      <c r="A18" s="16"/>
      <c r="B18" s="78">
        <v>2.2999999999999998</v>
      </c>
      <c r="C18" s="87" t="s">
        <v>23</v>
      </c>
      <c r="D18" s="88"/>
      <c r="E18" s="4">
        <v>131000</v>
      </c>
      <c r="F18" s="4">
        <v>146079</v>
      </c>
      <c r="G18" s="4">
        <v>185000</v>
      </c>
      <c r="H18" s="4">
        <v>176953</v>
      </c>
      <c r="I18" s="4">
        <v>194033</v>
      </c>
      <c r="J18" s="4">
        <v>204705</v>
      </c>
      <c r="K18" s="4">
        <v>236560</v>
      </c>
      <c r="L18" s="81">
        <f>306000-1530</f>
        <v>304470</v>
      </c>
      <c r="M18" s="82">
        <v>319956</v>
      </c>
      <c r="N18" s="81">
        <v>335794</v>
      </c>
      <c r="O18" s="36">
        <f>(K18-J18)/J18</f>
        <v>0.1556141764978872</v>
      </c>
      <c r="P18" s="8">
        <f>(L18-K18)/K18</f>
        <v>0.28707304700710179</v>
      </c>
      <c r="Q18" s="124">
        <f>(M18-L18)/L18</f>
        <v>5.0862153906788846E-2</v>
      </c>
      <c r="R18" s="100">
        <f>(N18-M18)/M18</f>
        <v>4.9500556326494895E-2</v>
      </c>
      <c r="S18" s="25"/>
      <c r="T18" s="32"/>
      <c r="U18" s="97"/>
      <c r="V18" s="98"/>
    </row>
    <row r="19" spans="1:29" x14ac:dyDescent="0.2">
      <c r="A19" s="95"/>
      <c r="B19" s="78">
        <v>2.4</v>
      </c>
      <c r="C19" s="92" t="s">
        <v>37</v>
      </c>
      <c r="D19" s="92"/>
      <c r="E19" s="93">
        <v>308873</v>
      </c>
      <c r="F19" s="93">
        <v>345392</v>
      </c>
      <c r="G19" s="93">
        <v>393644</v>
      </c>
      <c r="H19" s="4">
        <v>419920</v>
      </c>
      <c r="I19" s="4">
        <v>499000</v>
      </c>
      <c r="J19" s="4">
        <v>575000</v>
      </c>
      <c r="K19" s="4">
        <v>609500</v>
      </c>
      <c r="L19" s="81">
        <f>620000-3100</f>
        <v>616900</v>
      </c>
      <c r="M19" s="80">
        <f>652860-3264</f>
        <v>649596</v>
      </c>
      <c r="N19" s="79">
        <v>0</v>
      </c>
      <c r="O19" s="41">
        <f>(K19-J19)/J19</f>
        <v>0.06</v>
      </c>
      <c r="P19" s="12">
        <f>(L19-K19)/K19</f>
        <v>1.214109926168991E-2</v>
      </c>
      <c r="Q19" s="12">
        <f t="shared" si="8"/>
        <v>5.3000486302480145E-2</v>
      </c>
      <c r="R19" s="22">
        <f t="shared" si="8"/>
        <v>-1</v>
      </c>
      <c r="S19" s="25"/>
      <c r="T19" s="32"/>
      <c r="U19" s="97"/>
      <c r="V19" s="98"/>
    </row>
    <row r="20" spans="1:29" x14ac:dyDescent="0.2">
      <c r="A20" s="95"/>
      <c r="B20" s="78">
        <v>2.5</v>
      </c>
      <c r="C20" s="96" t="s">
        <v>38</v>
      </c>
      <c r="D20" s="96"/>
      <c r="E20" s="93">
        <v>174105</v>
      </c>
      <c r="F20" s="93">
        <v>197358</v>
      </c>
      <c r="G20" s="93">
        <v>166281</v>
      </c>
      <c r="H20" s="93">
        <v>6808</v>
      </c>
      <c r="I20" s="93">
        <v>176820</v>
      </c>
      <c r="J20" s="93">
        <v>176820</v>
      </c>
      <c r="K20" s="93">
        <v>187429</v>
      </c>
      <c r="L20" s="81">
        <f>200000-1000</f>
        <v>199000</v>
      </c>
      <c r="M20" s="80">
        <f>210600-1053</f>
        <v>209547</v>
      </c>
      <c r="N20" s="79">
        <v>0</v>
      </c>
      <c r="O20" s="36">
        <f>(K20-J20)/J20</f>
        <v>5.9998868906232329E-2</v>
      </c>
      <c r="P20" s="8">
        <f>(L20-K20)/K20</f>
        <v>6.1735377129473031E-2</v>
      </c>
      <c r="Q20" s="8">
        <f t="shared" si="8"/>
        <v>5.2999999999999999E-2</v>
      </c>
      <c r="R20" s="9">
        <f t="shared" si="8"/>
        <v>-1</v>
      </c>
      <c r="S20" s="25"/>
      <c r="T20" s="32"/>
      <c r="U20" s="97"/>
      <c r="V20" s="98"/>
      <c r="AA20" s="20">
        <f>L23/L6</f>
        <v>1.9998820743291054E-2</v>
      </c>
      <c r="AB20" s="20">
        <f>M23/M6</f>
        <v>1.999861795993357E-2</v>
      </c>
      <c r="AC20" s="20">
        <f>N23/N6</f>
        <v>1.7967848043829684E-2</v>
      </c>
    </row>
    <row r="21" spans="1:29" x14ac:dyDescent="0.2">
      <c r="A21" s="90"/>
      <c r="B21" s="78">
        <v>2.6</v>
      </c>
      <c r="C21" s="91" t="s">
        <v>36</v>
      </c>
      <c r="D21" s="92"/>
      <c r="E21" s="93"/>
      <c r="F21" s="93"/>
      <c r="G21" s="93"/>
      <c r="H21" s="94"/>
      <c r="I21" s="94"/>
      <c r="J21" s="94"/>
      <c r="K21" s="94"/>
      <c r="L21" s="81"/>
      <c r="M21" s="80"/>
      <c r="N21" s="79">
        <v>900000</v>
      </c>
      <c r="O21" s="36"/>
      <c r="P21" s="8"/>
      <c r="Q21" s="8"/>
      <c r="R21" s="9"/>
      <c r="S21" s="25"/>
    </row>
    <row r="22" spans="1:29" x14ac:dyDescent="0.2">
      <c r="A22" s="16"/>
      <c r="B22" s="99">
        <v>2.7</v>
      </c>
      <c r="C22" s="87" t="s">
        <v>40</v>
      </c>
      <c r="D22" s="88"/>
      <c r="E22" s="4">
        <v>200000</v>
      </c>
      <c r="F22" s="4">
        <v>300000</v>
      </c>
      <c r="G22" s="4">
        <v>330000</v>
      </c>
      <c r="H22" s="89">
        <v>349800</v>
      </c>
      <c r="I22" s="89">
        <v>367290</v>
      </c>
      <c r="J22" s="89">
        <v>387491</v>
      </c>
      <c r="K22" s="89">
        <v>410740</v>
      </c>
      <c r="L22" s="81">
        <v>429635</v>
      </c>
      <c r="M22" s="82">
        <v>452406</v>
      </c>
      <c r="N22" s="81">
        <v>475026</v>
      </c>
      <c r="O22" s="36">
        <f t="shared" ref="O22:R31" si="9">(K22-J22)/J22</f>
        <v>5.9998812875653888E-2</v>
      </c>
      <c r="P22" s="8">
        <f t="shared" si="9"/>
        <v>4.6002337244972491E-2</v>
      </c>
      <c r="Q22" s="8">
        <f t="shared" si="9"/>
        <v>5.3000803007203792E-2</v>
      </c>
      <c r="R22" s="9">
        <f t="shared" si="9"/>
        <v>4.9999336878821236E-2</v>
      </c>
      <c r="S22" s="25"/>
      <c r="T22" s="32"/>
      <c r="U22" s="97"/>
    </row>
    <row r="23" spans="1:29" x14ac:dyDescent="0.2">
      <c r="A23" s="16"/>
      <c r="B23" s="78">
        <v>2.8</v>
      </c>
      <c r="C23" s="78" t="s">
        <v>39</v>
      </c>
      <c r="D23" s="108"/>
      <c r="E23" s="4"/>
      <c r="F23" s="4"/>
      <c r="G23" s="4"/>
      <c r="H23" s="4"/>
      <c r="I23" s="4"/>
      <c r="J23" s="4"/>
      <c r="K23" s="4"/>
      <c r="L23" s="81">
        <f>410726+17</f>
        <v>410743</v>
      </c>
      <c r="M23" s="82">
        <v>433532</v>
      </c>
      <c r="N23" s="81">
        <v>454992</v>
      </c>
      <c r="O23" s="36"/>
      <c r="P23" s="8"/>
      <c r="Q23" s="8">
        <f t="shared" ref="Q23:R23" si="10">(M23-L23)/L23</f>
        <v>5.5482381927385249E-2</v>
      </c>
      <c r="R23" s="9">
        <f t="shared" si="10"/>
        <v>4.9500382901377524E-2</v>
      </c>
      <c r="S23" s="25"/>
      <c r="T23" s="75"/>
      <c r="U23" s="19"/>
      <c r="V23" s="19"/>
      <c r="W23" s="19"/>
      <c r="X23" s="19"/>
      <c r="Y23" s="20"/>
      <c r="Z23" s="28"/>
      <c r="AA23" s="28"/>
    </row>
    <row r="24" spans="1:29" x14ac:dyDescent="0.2">
      <c r="A24" s="16"/>
      <c r="B24" s="99">
        <v>2.9</v>
      </c>
      <c r="C24" s="87" t="s">
        <v>16</v>
      </c>
      <c r="D24" s="88"/>
      <c r="E24" s="4">
        <v>58737</v>
      </c>
      <c r="F24" s="4">
        <v>66846</v>
      </c>
      <c r="G24" s="4">
        <v>102000</v>
      </c>
      <c r="H24" s="4">
        <v>116000</v>
      </c>
      <c r="I24" s="4">
        <v>121800</v>
      </c>
      <c r="J24" s="4">
        <v>128500</v>
      </c>
      <c r="K24" s="4">
        <v>136210</v>
      </c>
      <c r="L24" s="81">
        <f>142476-712</f>
        <v>141764</v>
      </c>
      <c r="M24" s="82">
        <f>150000-750</f>
        <v>149250</v>
      </c>
      <c r="N24" s="81">
        <f>156638</f>
        <v>156638</v>
      </c>
      <c r="O24" s="36">
        <f t="shared" ref="O24:P28" si="11">(K24-J24)/J24</f>
        <v>0.06</v>
      </c>
      <c r="P24" s="8">
        <f t="shared" si="11"/>
        <v>4.077527347478159E-2</v>
      </c>
      <c r="Q24" s="124">
        <f>(M24-L24)/L24</f>
        <v>5.2806072063429361E-2</v>
      </c>
      <c r="R24" s="9">
        <f>(N24-M24)/M24</f>
        <v>4.9500837520938021E-2</v>
      </c>
      <c r="S24" s="25"/>
      <c r="T24" s="32"/>
      <c r="V24" s="98"/>
    </row>
    <row r="25" spans="1:29" x14ac:dyDescent="0.2">
      <c r="A25" s="125"/>
      <c r="B25" s="157">
        <v>2.1</v>
      </c>
      <c r="C25" s="158" t="s">
        <v>47</v>
      </c>
      <c r="D25" s="159"/>
      <c r="E25" s="127"/>
      <c r="F25" s="127"/>
      <c r="G25" s="127"/>
      <c r="H25" s="127"/>
      <c r="I25" s="127"/>
      <c r="J25" s="127"/>
      <c r="K25" s="127"/>
      <c r="L25" s="128"/>
      <c r="M25" s="160">
        <v>30700</v>
      </c>
      <c r="N25" s="161">
        <v>27900</v>
      </c>
      <c r="O25" s="109"/>
      <c r="P25" s="110"/>
      <c r="Q25" s="124"/>
      <c r="R25" s="9">
        <f>(N25-M25)/M25</f>
        <v>-9.1205211726384364E-2</v>
      </c>
      <c r="S25" s="25"/>
      <c r="T25" s="32"/>
      <c r="V25" s="98"/>
    </row>
    <row r="26" spans="1:29" x14ac:dyDescent="0.2">
      <c r="A26" s="125"/>
      <c r="B26" s="157">
        <v>2.11</v>
      </c>
      <c r="C26" s="78" t="s">
        <v>44</v>
      </c>
      <c r="D26" s="126"/>
      <c r="E26" s="127">
        <v>70000</v>
      </c>
      <c r="F26" s="127">
        <v>40600</v>
      </c>
      <c r="G26" s="127">
        <v>31065</v>
      </c>
      <c r="H26" s="127">
        <v>19637</v>
      </c>
      <c r="I26" s="127">
        <v>14605</v>
      </c>
      <c r="J26" s="127">
        <v>9255</v>
      </c>
      <c r="K26" s="127">
        <f>7770-1013</f>
        <v>6757</v>
      </c>
      <c r="L26" s="128">
        <v>4447</v>
      </c>
      <c r="M26" s="129">
        <v>4209</v>
      </c>
      <c r="N26" s="128">
        <v>3956</v>
      </c>
      <c r="O26" s="109">
        <f t="shared" si="11"/>
        <v>-0.26990815775256616</v>
      </c>
      <c r="P26" s="110">
        <f t="shared" si="11"/>
        <v>-0.3418676927630605</v>
      </c>
      <c r="Q26" s="110">
        <f>(M26-L26)/L26</f>
        <v>-5.3519226444794246E-2</v>
      </c>
      <c r="R26" s="9">
        <f>(N26-M26)/M26</f>
        <v>-6.0109289617486336E-2</v>
      </c>
      <c r="S26" s="25"/>
      <c r="T26" s="32"/>
      <c r="V26" s="98"/>
    </row>
    <row r="27" spans="1:29" x14ac:dyDescent="0.2">
      <c r="A27" s="3"/>
      <c r="B27" s="155">
        <v>2.12</v>
      </c>
      <c r="C27" s="156" t="s">
        <v>46</v>
      </c>
      <c r="D27" s="27"/>
      <c r="E27" s="112"/>
      <c r="F27" s="112"/>
      <c r="G27" s="112"/>
      <c r="H27" s="112"/>
      <c r="I27" s="112"/>
      <c r="J27" s="112"/>
      <c r="K27" s="112"/>
      <c r="L27" s="113"/>
      <c r="M27" s="154">
        <v>300000</v>
      </c>
      <c r="N27" s="113"/>
      <c r="O27" s="152"/>
      <c r="P27" s="153"/>
      <c r="Q27" s="153"/>
      <c r="R27" s="22"/>
      <c r="S27" s="25"/>
      <c r="T27" s="32"/>
      <c r="V27" s="98"/>
    </row>
    <row r="28" spans="1:29" ht="13.5" thickBot="1" x14ac:dyDescent="0.25">
      <c r="A28" s="90"/>
      <c r="B28" s="162">
        <v>2.13</v>
      </c>
      <c r="C28" s="91" t="s">
        <v>18</v>
      </c>
      <c r="D28" s="139"/>
      <c r="E28" s="93"/>
      <c r="F28" s="93"/>
      <c r="G28" s="93">
        <v>148000</v>
      </c>
      <c r="H28" s="93">
        <v>148000</v>
      </c>
      <c r="I28" s="93">
        <v>148000</v>
      </c>
      <c r="J28" s="93">
        <v>118400</v>
      </c>
      <c r="K28" s="93">
        <v>94720</v>
      </c>
      <c r="L28" s="79">
        <v>44864</v>
      </c>
      <c r="M28" s="80">
        <v>0</v>
      </c>
      <c r="N28" s="79">
        <v>0</v>
      </c>
      <c r="O28" s="41">
        <f t="shared" si="11"/>
        <v>-0.2</v>
      </c>
      <c r="P28" s="12">
        <f t="shared" si="11"/>
        <v>-0.52635135135135136</v>
      </c>
      <c r="Q28" s="140">
        <f>(M28-L28)/L28</f>
        <v>-1</v>
      </c>
      <c r="R28" s="22"/>
      <c r="S28" s="25"/>
      <c r="T28" s="32"/>
      <c r="V28" s="98"/>
    </row>
    <row r="29" spans="1:29" ht="3" customHeight="1" thickBot="1" x14ac:dyDescent="0.25">
      <c r="A29" s="145"/>
      <c r="B29" s="142"/>
      <c r="C29" s="143"/>
      <c r="D29" s="145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6"/>
      <c r="P29" s="146"/>
      <c r="Q29" s="146"/>
      <c r="R29" s="146"/>
      <c r="S29" s="25"/>
      <c r="T29" s="32"/>
      <c r="V29" s="98"/>
    </row>
    <row r="30" spans="1:29" x14ac:dyDescent="0.2">
      <c r="A30" s="101">
        <v>3</v>
      </c>
      <c r="B30" s="44" t="s">
        <v>45</v>
      </c>
      <c r="C30" s="102"/>
      <c r="D30" s="103"/>
      <c r="E30" s="104"/>
      <c r="F30" s="104"/>
      <c r="G30" s="104"/>
      <c r="H30" s="105"/>
      <c r="I30" s="105"/>
      <c r="J30" s="105">
        <f>SUM(J31:J36)</f>
        <v>3697889</v>
      </c>
      <c r="K30" s="105">
        <f>SUM(K31:K34)</f>
        <v>3919693</v>
      </c>
      <c r="L30" s="105">
        <f>SUM(L31:L34)</f>
        <v>4123807</v>
      </c>
      <c r="M30" s="166">
        <f t="shared" ref="M30:N30" si="12">SUM(M31:M34)</f>
        <v>8924157</v>
      </c>
      <c r="N30" s="166">
        <f t="shared" si="12"/>
        <v>7551134</v>
      </c>
      <c r="O30" s="106">
        <f t="shared" si="9"/>
        <v>5.9981248761117489E-2</v>
      </c>
      <c r="P30" s="107">
        <f t="shared" si="9"/>
        <v>5.2073976201707631E-2</v>
      </c>
      <c r="Q30" s="107">
        <f t="shared" si="9"/>
        <v>1.1640578717675196</v>
      </c>
      <c r="R30" s="141">
        <f t="shared" si="9"/>
        <v>-0.15385464419776568</v>
      </c>
      <c r="S30" s="25"/>
      <c r="T30" s="32"/>
      <c r="U30" s="97"/>
    </row>
    <row r="31" spans="1:29" x14ac:dyDescent="0.2">
      <c r="A31" s="16"/>
      <c r="B31" s="78">
        <v>3.1</v>
      </c>
      <c r="C31" s="78" t="s">
        <v>35</v>
      </c>
      <c r="D31" s="88"/>
      <c r="E31" s="4">
        <f>1175267+108108+39000</f>
        <v>1322375</v>
      </c>
      <c r="F31" s="4">
        <f>1444668-25716</f>
        <v>1418952</v>
      </c>
      <c r="G31" s="4">
        <f>1591359-29608</f>
        <v>1561751</v>
      </c>
      <c r="H31" s="4">
        <f>1923779+46000+751826-77384</f>
        <v>2644221</v>
      </c>
      <c r="I31" s="4">
        <v>3377902</v>
      </c>
      <c r="J31" s="4">
        <v>3693295</v>
      </c>
      <c r="K31" s="4">
        <v>3914893</v>
      </c>
      <c r="L31" s="81">
        <v>4094978</v>
      </c>
      <c r="M31" s="163">
        <f>4311811+2039000</f>
        <v>6350811</v>
      </c>
      <c r="N31" s="150">
        <f>4527402+2991883</f>
        <v>7519285</v>
      </c>
      <c r="O31" s="36">
        <f t="shared" si="9"/>
        <v>6.0000081228279899E-2</v>
      </c>
      <c r="P31" s="8">
        <f t="shared" si="9"/>
        <v>4.5999980076083816E-2</v>
      </c>
      <c r="Q31" s="8">
        <f t="shared" si="9"/>
        <v>0.55087792901451482</v>
      </c>
      <c r="R31" s="9">
        <f t="shared" si="9"/>
        <v>0.18398815521356249</v>
      </c>
      <c r="S31" s="25"/>
    </row>
    <row r="32" spans="1:29" x14ac:dyDescent="0.2">
      <c r="A32" s="16"/>
      <c r="B32" s="78"/>
      <c r="C32" s="78" t="s">
        <v>48</v>
      </c>
      <c r="D32" s="88"/>
      <c r="E32" s="4"/>
      <c r="F32" s="4"/>
      <c r="G32" s="4"/>
      <c r="H32" s="4"/>
      <c r="I32" s="4"/>
      <c r="J32" s="4"/>
      <c r="K32" s="4"/>
      <c r="L32" s="81"/>
      <c r="M32" s="163">
        <v>2543000</v>
      </c>
      <c r="N32" s="150"/>
      <c r="O32" s="36"/>
      <c r="P32" s="8"/>
      <c r="Q32" s="8"/>
      <c r="R32" s="9"/>
      <c r="S32" s="25"/>
    </row>
    <row r="33" spans="1:22" x14ac:dyDescent="0.2">
      <c r="A33" s="16"/>
      <c r="B33" s="99">
        <v>3.2</v>
      </c>
      <c r="C33" s="87" t="s">
        <v>22</v>
      </c>
      <c r="D33" s="88"/>
      <c r="E33" s="4"/>
      <c r="F33" s="4"/>
      <c r="G33" s="4"/>
      <c r="H33" s="4"/>
      <c r="I33" s="4"/>
      <c r="J33" s="4"/>
      <c r="K33" s="4"/>
      <c r="L33" s="81">
        <v>23829</v>
      </c>
      <c r="M33" s="43">
        <v>25081</v>
      </c>
      <c r="N33" s="81">
        <v>26323</v>
      </c>
      <c r="O33" s="36"/>
      <c r="P33" s="8"/>
      <c r="Q33" s="8">
        <f t="shared" ref="Q33:R36" si="13">(M33-L33)/L33</f>
        <v>5.2541021444458436E-2</v>
      </c>
      <c r="R33" s="9">
        <f t="shared" si="13"/>
        <v>4.951955663649775E-2</v>
      </c>
      <c r="S33" s="25"/>
      <c r="T33" s="32"/>
      <c r="U33" s="23"/>
      <c r="V33" s="98"/>
    </row>
    <row r="34" spans="1:22" ht="13.5" thickBot="1" x14ac:dyDescent="0.25">
      <c r="A34" s="17"/>
      <c r="B34" s="135">
        <v>3.3</v>
      </c>
      <c r="C34" s="130" t="s">
        <v>17</v>
      </c>
      <c r="D34" s="131"/>
      <c r="E34" s="18">
        <v>3195</v>
      </c>
      <c r="F34" s="18">
        <v>3400</v>
      </c>
      <c r="G34" s="18">
        <v>4000</v>
      </c>
      <c r="H34" s="136">
        <v>4000</v>
      </c>
      <c r="I34" s="136">
        <v>4400</v>
      </c>
      <c r="J34" s="137">
        <v>4594</v>
      </c>
      <c r="K34" s="136">
        <v>4800</v>
      </c>
      <c r="L34" s="84">
        <v>5000</v>
      </c>
      <c r="M34" s="84">
        <v>5265</v>
      </c>
      <c r="N34" s="84">
        <v>5526</v>
      </c>
      <c r="O34" s="40">
        <f t="shared" ref="O34:R34" si="14">(K34-J34)/J34</f>
        <v>4.484109708315194E-2</v>
      </c>
      <c r="P34" s="11">
        <f t="shared" si="14"/>
        <v>4.1666666666666664E-2</v>
      </c>
      <c r="Q34" s="11">
        <f t="shared" si="14"/>
        <v>5.2999999999999999E-2</v>
      </c>
      <c r="R34" s="21">
        <f t="shared" si="14"/>
        <v>4.957264957264957E-2</v>
      </c>
      <c r="S34" s="25"/>
      <c r="T34" s="32"/>
      <c r="V34" s="98"/>
    </row>
    <row r="35" spans="1:22" x14ac:dyDescent="0.2">
      <c r="A35" s="101">
        <v>4</v>
      </c>
      <c r="B35" s="134" t="s">
        <v>42</v>
      </c>
      <c r="C35" s="132"/>
      <c r="D35" s="126"/>
      <c r="E35" s="127"/>
      <c r="F35" s="127"/>
      <c r="G35" s="127"/>
      <c r="H35" s="133"/>
      <c r="I35" s="133"/>
      <c r="J35" s="133"/>
      <c r="K35" s="138"/>
      <c r="L35" s="138">
        <f>L36</f>
        <v>10000</v>
      </c>
      <c r="M35" s="138">
        <f t="shared" ref="M35:N35" si="15">M36</f>
        <v>10000</v>
      </c>
      <c r="N35" s="138">
        <f t="shared" si="15"/>
        <v>10500</v>
      </c>
      <c r="O35" s="109"/>
      <c r="P35" s="34"/>
      <c r="Q35" s="34">
        <f t="shared" ref="Q35" si="16">(M35-L35)/L35</f>
        <v>0</v>
      </c>
      <c r="R35" s="35">
        <f t="shared" ref="R35" si="17">(N35-M35)/M35</f>
        <v>0.05</v>
      </c>
      <c r="S35" s="25"/>
      <c r="T35" s="32"/>
      <c r="V35" s="98"/>
    </row>
    <row r="36" spans="1:22" ht="13.5" thickBot="1" x14ac:dyDescent="0.25">
      <c r="A36" s="3"/>
      <c r="B36" s="111">
        <v>4.0999999999999996</v>
      </c>
      <c r="C36" s="15" t="s">
        <v>43</v>
      </c>
      <c r="D36" s="27"/>
      <c r="E36" s="112"/>
      <c r="F36" s="112"/>
      <c r="G36" s="112"/>
      <c r="H36" s="112"/>
      <c r="I36" s="112"/>
      <c r="J36" s="112"/>
      <c r="K36" s="112"/>
      <c r="L36" s="113">
        <v>10000</v>
      </c>
      <c r="M36" s="112">
        <v>10000</v>
      </c>
      <c r="N36" s="79">
        <v>10500</v>
      </c>
      <c r="O36" s="36"/>
      <c r="P36" s="110"/>
      <c r="Q36" s="110">
        <f t="shared" si="13"/>
        <v>0</v>
      </c>
      <c r="R36" s="100">
        <f t="shared" si="13"/>
        <v>0.05</v>
      </c>
      <c r="S36" s="25"/>
      <c r="T36" s="32"/>
      <c r="V36" s="98"/>
    </row>
    <row r="37" spans="1:22" ht="13.5" thickBot="1" x14ac:dyDescent="0.25">
      <c r="A37" s="26" t="s">
        <v>0</v>
      </c>
      <c r="B37" s="114"/>
      <c r="C37" s="114"/>
      <c r="D37" s="114"/>
      <c r="E37" s="115">
        <f>14634975+108108+39000+343705-6000</f>
        <v>15119788</v>
      </c>
      <c r="F37" s="115">
        <f>16741864-25716</f>
        <v>16716148</v>
      </c>
      <c r="G37" s="115">
        <f>19108099-29608</f>
        <v>19078491</v>
      </c>
      <c r="H37" s="115">
        <f>21322502+751826-77384</f>
        <v>21996944</v>
      </c>
      <c r="I37" s="115">
        <f>24130762+150000</f>
        <v>24280762</v>
      </c>
      <c r="J37" s="115">
        <f>25932062+150000</f>
        <v>26082062</v>
      </c>
      <c r="K37" s="115">
        <f>27569986+500000</f>
        <v>28069986</v>
      </c>
      <c r="L37" s="116">
        <v>30338205</v>
      </c>
      <c r="M37" s="164">
        <v>36858629</v>
      </c>
      <c r="N37" s="165">
        <v>39126126</v>
      </c>
      <c r="O37" s="42">
        <f t="shared" ref="O37:Q37" si="18">(K37-J37)/J37</f>
        <v>7.6218053618613432E-2</v>
      </c>
      <c r="P37" s="13">
        <f t="shared" si="18"/>
        <v>8.0805847213461388E-2</v>
      </c>
      <c r="Q37" s="13">
        <f t="shared" si="18"/>
        <v>0.21492451514517752</v>
      </c>
      <c r="R37" s="14">
        <f>(N37-M37)/M37</f>
        <v>6.1518755892955218E-2</v>
      </c>
      <c r="S37" s="39"/>
      <c r="T37" s="33"/>
      <c r="V37" s="1"/>
    </row>
    <row r="38" spans="1:22" x14ac:dyDescent="0.2">
      <c r="B38" s="117"/>
      <c r="C38" s="117"/>
      <c r="D38" s="117"/>
      <c r="E38" s="117"/>
      <c r="F38" s="117"/>
      <c r="G38" s="117"/>
      <c r="H38" s="117"/>
      <c r="I38" s="117"/>
      <c r="J38" s="117"/>
      <c r="K38" s="118"/>
      <c r="L38" s="118"/>
      <c r="M38" s="118"/>
      <c r="N38" s="118"/>
      <c r="O38" s="117"/>
      <c r="P38" s="117"/>
      <c r="Q38" s="117"/>
      <c r="R38" s="117"/>
      <c r="S38" s="117"/>
      <c r="T38" s="1"/>
    </row>
    <row r="39" spans="1:22" x14ac:dyDescent="0.2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8"/>
      <c r="L39" s="118"/>
      <c r="M39" s="118"/>
      <c r="N39" s="118"/>
      <c r="O39" s="117"/>
      <c r="P39" s="117"/>
      <c r="Q39" s="117"/>
      <c r="R39" s="117"/>
      <c r="S39" s="117"/>
    </row>
    <row r="40" spans="1:22" x14ac:dyDescent="0.2">
      <c r="A40" s="119"/>
      <c r="B40" s="117"/>
      <c r="C40" s="117"/>
      <c r="D40" s="117"/>
      <c r="E40" s="117"/>
      <c r="F40" s="117"/>
      <c r="G40" s="117"/>
      <c r="H40" s="117"/>
      <c r="I40" s="117"/>
      <c r="J40" s="117"/>
      <c r="K40" s="118"/>
      <c r="L40" s="118"/>
      <c r="M40" s="118"/>
      <c r="N40" s="118"/>
      <c r="O40" s="117"/>
      <c r="P40" s="117"/>
      <c r="Q40" s="117"/>
      <c r="R40" s="117"/>
      <c r="S40" s="117"/>
    </row>
    <row r="41" spans="1:22" x14ac:dyDescent="0.2">
      <c r="K41" s="23">
        <f>K6+K11+K30+K35</f>
        <v>28069986</v>
      </c>
      <c r="L41" s="23">
        <f>L6+L11+L30+L35</f>
        <v>30338205</v>
      </c>
      <c r="M41" s="23">
        <f>M6+M11+M30+M35</f>
        <v>36858629</v>
      </c>
      <c r="N41" s="23">
        <f>N6+N11+N30+N35</f>
        <v>39126126</v>
      </c>
    </row>
    <row r="42" spans="1:22" x14ac:dyDescent="0.2">
      <c r="J42" s="23"/>
      <c r="K42" s="23"/>
    </row>
    <row r="43" spans="1:22" x14ac:dyDescent="0.2">
      <c r="K43" s="23"/>
      <c r="L43" s="23"/>
      <c r="M43" s="23">
        <f>M37-M41</f>
        <v>0</v>
      </c>
      <c r="N43" s="23">
        <f>N37-N41</f>
        <v>0</v>
      </c>
      <c r="S43" s="1"/>
    </row>
    <row r="44" spans="1:22" x14ac:dyDescent="0.2">
      <c r="G44" s="24"/>
      <c r="H44" s="24"/>
      <c r="I44" s="24"/>
      <c r="J44" s="23"/>
      <c r="K44" s="23"/>
      <c r="L44" s="23"/>
      <c r="M44" s="23"/>
      <c r="N44" s="23"/>
      <c r="S44" s="23"/>
    </row>
    <row r="45" spans="1:22" x14ac:dyDescent="0.2">
      <c r="J45" s="23"/>
      <c r="K45" s="23"/>
      <c r="L45" s="23"/>
      <c r="M45" s="23"/>
      <c r="N45" s="23"/>
    </row>
    <row r="46" spans="1:22" x14ac:dyDescent="0.2">
      <c r="J46" s="23"/>
      <c r="K46" s="23"/>
    </row>
    <row r="47" spans="1:22" x14ac:dyDescent="0.2">
      <c r="J47" s="23"/>
      <c r="K47" s="23"/>
      <c r="N47" s="23"/>
    </row>
    <row r="48" spans="1:22" x14ac:dyDescent="0.2">
      <c r="J48" s="23"/>
      <c r="K48" s="23"/>
      <c r="L48" s="23"/>
      <c r="M48" s="23"/>
      <c r="N48" s="23"/>
    </row>
    <row r="49" spans="11:11" x14ac:dyDescent="0.2">
      <c r="K49" s="23"/>
    </row>
    <row r="50" spans="11:11" x14ac:dyDescent="0.2">
      <c r="K50" s="23"/>
    </row>
    <row r="51" spans="11:11" x14ac:dyDescent="0.2">
      <c r="K51" s="23"/>
    </row>
    <row r="52" spans="11:11" x14ac:dyDescent="0.2">
      <c r="K52" s="23"/>
    </row>
  </sheetData>
  <mergeCells count="4">
    <mergeCell ref="A1:G1"/>
    <mergeCell ref="K2:N2"/>
    <mergeCell ref="O2:R2"/>
    <mergeCell ref="O3:R3"/>
  </mergeCells>
  <pageMargins left="0.56999999999999995" right="0.55000000000000004" top="1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Company>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Appelgryn.J</dc:creator>
  <cp:lastModifiedBy>Sehlabela Chuene</cp:lastModifiedBy>
  <cp:lastPrinted>2016-07-15T09:37:17Z</cp:lastPrinted>
  <dcterms:created xsi:type="dcterms:W3CDTF">2008-03-11T11:27:52Z</dcterms:created>
  <dcterms:modified xsi:type="dcterms:W3CDTF">2016-12-08T08:00:04Z</dcterms:modified>
</cp:coreProperties>
</file>